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ieseArbeitsmappe"/>
  <workbookProtection workbookPassword="CC22" lockStructure="1"/>
  <bookViews>
    <workbookView xWindow="0" yWindow="0" windowWidth="12576" windowHeight="7188" tabRatio="830"/>
  </bookViews>
  <sheets>
    <sheet name="Resultatmappe" sheetId="1" r:id="rId1"/>
    <sheet name="Diplom" sheetId="21" r:id="rId2"/>
    <sheet name="Diplom_Unterschrift" sheetId="27" r:id="rId3"/>
    <sheet name="Diplom_Zusammenzug" sheetId="22" state="hidden" r:id="rId4"/>
    <sheet name="Diplom_Werte" sheetId="20" state="hidden" r:id="rId5"/>
    <sheet name="Diplom_Kantone" sheetId="23" state="hidden" r:id="rId6"/>
    <sheet name="Diplom_BilderMed" sheetId="25" state="hidden" r:id="rId7"/>
    <sheet name="Diplom_BilderPok" sheetId="26" state="hidden" r:id="rId8"/>
    <sheet name="BS 1_1" sheetId="8" state="hidden" r:id="rId9"/>
    <sheet name="BS 1_2" sheetId="14" state="hidden" r:id="rId10"/>
    <sheet name="BS 2_1" sheetId="6" state="hidden" r:id="rId11"/>
    <sheet name="BS 2_2" sheetId="15" state="hidden" r:id="rId12"/>
    <sheet name="BS 3_1" sheetId="7" state="hidden" r:id="rId13"/>
    <sheet name="BS 3_2" sheetId="16" state="hidden" r:id="rId14"/>
    <sheet name="BS 4_1" sheetId="3" state="hidden" r:id="rId15"/>
    <sheet name="BS 4_2" sheetId="17" state="hidden" r:id="rId16"/>
    <sheet name="BS 5" sheetId="11" state="hidden" r:id="rId17"/>
    <sheet name="BS 6" sheetId="10" state="hidden" r:id="rId18"/>
    <sheet name="FIT" sheetId="9" state="hidden" r:id="rId19"/>
    <sheet name="Stammdaten" sheetId="4" state="hidden" r:id="rId20"/>
    <sheet name="Statistik" sheetId="18" state="hidden" r:id="rId21"/>
  </sheets>
  <definedNames>
    <definedName name="_AnzBS1">Resultatmappe!$G$2:$CQ$2</definedName>
    <definedName name="_AnzBS2">Resultatmappe!$FE$3:$GM$3</definedName>
    <definedName name="_AnzBS3">Resultatmappe!$KI$3:$LK$3</definedName>
    <definedName name="_AnzBS4">Resultatmappe!$ML$3:$OH$3</definedName>
    <definedName name="_BS_2">Resultatmappe!$GO$14:$GT$48</definedName>
    <definedName name="_Diplom">Resultatmappe!$A$19:$SG$48</definedName>
    <definedName name="_Stufe_Aerobic">Resultatmappe!$LC$16</definedName>
    <definedName name="_Stufe_Boden">Resultatmappe!$FK$16</definedName>
    <definedName name="_Stufe_Parallelbarren">Resultatmappe!$FW$16</definedName>
    <definedName name="_Stufe_Parkour">Resultatmappe!$JJ$16</definedName>
    <definedName name="_Stufe_Reck">Resultatmappe!$FE$16</definedName>
    <definedName name="_Stufe_RopeSkipping">Resultatmappe!$KS$16</definedName>
    <definedName name="_Stufe_Schaukelringe">Resultatmappe!$GC$16</definedName>
    <definedName name="_Stufe_Sprung">Resultatmappe!$GI$16</definedName>
    <definedName name="_Stufe_Stufenbarren">Resultatmappe!$FQ$16</definedName>
    <definedName name="_Stufe_Tanzen">Resultatmappe!$KI$16</definedName>
    <definedName name="_Stufe_Volley">Resultatmappe!$NZ$16</definedName>
    <definedName name="_SuSN">Resultatmappe!$A$19:$C$48</definedName>
    <definedName name="BS_1_Med">INDIRECT("Diplom_BilderMed!A"&amp;Diplom!$H$19)</definedName>
    <definedName name="BS_2_Med">INDIRECT("Diplom_BilderMed!A"&amp;Diplom!$H$29)</definedName>
    <definedName name="BS_3_Med">INDIRECT("Diplom_BilderMed!A"&amp;Diplom!$H$39)</definedName>
    <definedName name="BS_4_Med">INDIRECT("Diplom_BilderMed!A"&amp;Diplom!$H$49)</definedName>
    <definedName name="_xlnm.Print_Area" localSheetId="1">Diplom!$M$2:$S$74</definedName>
    <definedName name="_xlnm.Print_Area" localSheetId="0">Resultatmappe!$A$1:$VJ$49</definedName>
    <definedName name="_xlnm.Print_Titles" localSheetId="0">Resultatmappe!$B:$E</definedName>
    <definedName name="FormatBeurt">INDIRECT("Diplom_BilderPok!A"&amp;Diplom!$H$60)</definedName>
    <definedName name="Kanton">INDIRECT("Diplom_Kantone!A"&amp;Diplom!$H$2)</definedName>
    <definedName name="Unterschrift">Diplom_Unterschrift!$A$1</definedName>
  </definedNames>
  <calcPr calcId="145621"/>
</workbook>
</file>

<file path=xl/calcChain.xml><?xml version="1.0" encoding="utf-8"?>
<calcChain xmlns="http://schemas.openxmlformats.org/spreadsheetml/2006/main">
  <c r="TH19" i="1" l="1"/>
  <c r="A22" i="4" l="1"/>
  <c r="HZ1" i="1" l="1"/>
  <c r="HZ2" i="1"/>
  <c r="RD2" i="1" s="1"/>
  <c r="AI2" i="4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21" i="4"/>
  <c r="AI22" i="4"/>
  <c r="AI23" i="4"/>
  <c r="AI24" i="4"/>
  <c r="AI26" i="4"/>
  <c r="AI27" i="4"/>
  <c r="AI28" i="4"/>
  <c r="AI29" i="4"/>
  <c r="AI30" i="4"/>
  <c r="AH2" i="4"/>
  <c r="AH3" i="4"/>
  <c r="AH4" i="4"/>
  <c r="AH5" i="4"/>
  <c r="AH6" i="4"/>
  <c r="AH7" i="4"/>
  <c r="AH8" i="4"/>
  <c r="AH9" i="4"/>
  <c r="AH10" i="4"/>
  <c r="AH11" i="4"/>
  <c r="AH12" i="4"/>
  <c r="AH13" i="4"/>
  <c r="AH14" i="4"/>
  <c r="AH15" i="4"/>
  <c r="AH16" i="4"/>
  <c r="AH21" i="4"/>
  <c r="AH22" i="4"/>
  <c r="AH23" i="4"/>
  <c r="AH24" i="4"/>
  <c r="AH26" i="4"/>
  <c r="AH27" i="4"/>
  <c r="AH28" i="4"/>
  <c r="AH29" i="4"/>
  <c r="AH30" i="4"/>
  <c r="MG2" i="1" l="1"/>
  <c r="IO2" i="1"/>
  <c r="PX2" i="1"/>
  <c r="IX2" i="1"/>
  <c r="QQ2" i="1"/>
  <c r="JU2" i="1"/>
  <c r="E25" i="21"/>
  <c r="E24" i="21"/>
  <c r="E23" i="21"/>
  <c r="E22" i="21"/>
  <c r="F42" i="21"/>
  <c r="E42" i="21"/>
  <c r="D42" i="21"/>
  <c r="BG6" i="22"/>
  <c r="GU6" i="1" l="1"/>
  <c r="CP6" i="22" s="1"/>
  <c r="P12" i="21"/>
  <c r="N12" i="21"/>
  <c r="QA13" i="1" l="1"/>
  <c r="QE14" i="1"/>
  <c r="QC14" i="1"/>
  <c r="QB14" i="1"/>
  <c r="QA14" i="1"/>
  <c r="PG13" i="1"/>
  <c r="PL14" i="1"/>
  <c r="PK14" i="1"/>
  <c r="PJ14" i="1"/>
  <c r="PI14" i="1"/>
  <c r="PH14" i="1"/>
  <c r="PG14" i="1"/>
  <c r="PF11" i="1"/>
  <c r="PE11" i="1"/>
  <c r="IC13" i="1" l="1"/>
  <c r="IG14" i="1"/>
  <c r="IE14" i="1"/>
  <c r="ID14" i="1"/>
  <c r="IC14" i="1"/>
  <c r="HL12" i="1"/>
  <c r="HK12" i="1"/>
  <c r="HM13" i="1"/>
  <c r="HM12" i="1"/>
  <c r="QA11" i="1" s="1"/>
  <c r="IF14" i="1" l="1"/>
  <c r="QD14" i="1"/>
  <c r="IC12" i="1"/>
  <c r="PG11" i="1"/>
  <c r="AY27" i="4"/>
  <c r="QP13" i="1" l="1"/>
  <c r="PW13" i="1"/>
  <c r="MF14" i="1"/>
  <c r="JT13" i="1"/>
  <c r="IW13" i="1"/>
  <c r="IN13" i="1"/>
  <c r="OO6" i="1" l="1"/>
  <c r="CZ6" i="22" s="1"/>
  <c r="JX6" i="1"/>
  <c r="CQ6" i="22" s="1"/>
  <c r="CL2" i="22"/>
  <c r="EN6" i="1"/>
  <c r="CL6" i="22" s="1"/>
  <c r="B35" i="21" l="1"/>
  <c r="RC13" i="1" l="1"/>
  <c r="QU13" i="1"/>
  <c r="QH13" i="1"/>
  <c r="PO13" i="1"/>
  <c r="LX14" i="1"/>
  <c r="IS13" i="1"/>
  <c r="IJ13" i="1"/>
  <c r="Q51" i="21" l="1"/>
  <c r="Q41" i="21"/>
  <c r="Q31" i="21"/>
  <c r="BA2" i="22"/>
  <c r="BK2" i="22" s="1"/>
  <c r="C60" i="21"/>
  <c r="R73" i="21"/>
  <c r="C2" i="21" l="1"/>
  <c r="D2" i="21"/>
  <c r="I16" i="4"/>
  <c r="I17" i="4"/>
  <c r="I18" i="4"/>
  <c r="I15" i="4"/>
  <c r="CN4" i="22"/>
  <c r="CX4" i="22" s="1"/>
  <c r="CN3" i="22"/>
  <c r="CX3" i="22" s="1"/>
  <c r="I31" i="4"/>
  <c r="I32" i="4"/>
  <c r="I30" i="4"/>
  <c r="I24" i="4"/>
  <c r="I25" i="4"/>
  <c r="I26" i="4"/>
  <c r="I23" i="4"/>
  <c r="I22" i="4"/>
  <c r="D56" i="4"/>
  <c r="D37" i="4"/>
  <c r="D47" i="4"/>
  <c r="D27" i="4"/>
  <c r="D44" i="4"/>
  <c r="D42" i="4"/>
  <c r="D21" i="4"/>
  <c r="D49" i="4"/>
  <c r="D26" i="4"/>
  <c r="D36" i="4"/>
  <c r="D46" i="4"/>
  <c r="D34" i="4"/>
  <c r="D23" i="4"/>
  <c r="D53" i="4"/>
  <c r="D25" i="4"/>
  <c r="D24" i="4"/>
  <c r="D57" i="4"/>
  <c r="D55" i="4"/>
  <c r="D18" i="4"/>
  <c r="D16" i="4"/>
  <c r="D15" i="4"/>
  <c r="D35" i="4"/>
  <c r="D38" i="4"/>
  <c r="D19" i="4"/>
  <c r="D32" i="4"/>
  <c r="D50" i="4"/>
  <c r="D29" i="4"/>
  <c r="D20" i="4"/>
  <c r="D54" i="4"/>
  <c r="D48" i="4"/>
  <c r="D40" i="4"/>
  <c r="D41" i="4"/>
  <c r="D17" i="4"/>
  <c r="D45" i="4"/>
  <c r="D28" i="4"/>
  <c r="D43" i="4"/>
  <c r="D31" i="4"/>
  <c r="D51" i="4"/>
  <c r="D52" i="4"/>
  <c r="D22" i="4"/>
  <c r="D39" i="4"/>
  <c r="D33" i="4"/>
  <c r="D30" i="4"/>
  <c r="CT3" i="22" l="1"/>
  <c r="DB3" i="22"/>
  <c r="CT4" i="22"/>
  <c r="DB4" i="22"/>
  <c r="C56" i="21"/>
  <c r="C53" i="21"/>
  <c r="F52" i="21" s="1"/>
  <c r="C52" i="21"/>
  <c r="E54" i="21" s="1"/>
  <c r="C51" i="21"/>
  <c r="D54" i="21" s="1"/>
  <c r="F33" i="21"/>
  <c r="F34" i="21"/>
  <c r="F32" i="21"/>
  <c r="E33" i="21"/>
  <c r="E34" i="21"/>
  <c r="E32" i="21"/>
  <c r="D33" i="21"/>
  <c r="D34" i="21"/>
  <c r="D32" i="21"/>
  <c r="H2" i="21"/>
  <c r="D53" i="21" l="1"/>
  <c r="E52" i="21"/>
  <c r="F53" i="21"/>
  <c r="D52" i="21"/>
  <c r="E53" i="21"/>
  <c r="F54" i="21"/>
  <c r="HW14" i="1"/>
  <c r="IQ13" i="1"/>
  <c r="IB13" i="1"/>
  <c r="HG13" i="1"/>
  <c r="IY6" i="1"/>
  <c r="AX6" i="22" s="1"/>
  <c r="IV6" i="1"/>
  <c r="AV6" i="22" s="1"/>
  <c r="IT6" i="1"/>
  <c r="AU6" i="22" s="1"/>
  <c r="IS6" i="1"/>
  <c r="AS6" i="22" s="1"/>
  <c r="IR6" i="1"/>
  <c r="AR6" i="22" s="1"/>
  <c r="IP6" i="1"/>
  <c r="AQ6" i="22" s="1"/>
  <c r="IM6" i="1"/>
  <c r="AO6" i="22" s="1"/>
  <c r="IK6" i="1"/>
  <c r="AN6" i="22" s="1"/>
  <c r="IJ6" i="1"/>
  <c r="AL6" i="22" s="1"/>
  <c r="II6" i="1"/>
  <c r="AK6" i="22" s="1"/>
  <c r="IA6" i="1"/>
  <c r="AJ6" i="22" s="1"/>
  <c r="HX6" i="1"/>
  <c r="AH6" i="22" s="1"/>
  <c r="HV6" i="1"/>
  <c r="AG6" i="22" s="1"/>
  <c r="HU6" i="1"/>
  <c r="AE6" i="22" s="1"/>
  <c r="HT6" i="1"/>
  <c r="AD6" i="22" s="1"/>
  <c r="JU1" i="1" l="1"/>
  <c r="IO1" i="1"/>
  <c r="MG1" i="1"/>
  <c r="IX1" i="1"/>
  <c r="IL14" i="1"/>
  <c r="IU14" i="1"/>
  <c r="QT11" i="1"/>
  <c r="QF11" i="1"/>
  <c r="QS13" i="1"/>
  <c r="RE6" i="1"/>
  <c r="CJ6" i="22" s="1"/>
  <c r="RB6" i="1"/>
  <c r="CI6" i="22" s="1"/>
  <c r="QY6" i="1"/>
  <c r="CG6" i="22" s="1"/>
  <c r="QV6" i="1"/>
  <c r="CF6" i="22" s="1"/>
  <c r="QU6" i="1"/>
  <c r="CD6" i="22" s="1"/>
  <c r="QT6" i="1"/>
  <c r="CC6" i="22" s="1"/>
  <c r="PZ13" i="1"/>
  <c r="QR6" i="1"/>
  <c r="CB6" i="22" s="1"/>
  <c r="QO6" i="1"/>
  <c r="CA6" i="22" s="1"/>
  <c r="QL6" i="1"/>
  <c r="BY6" i="22" s="1"/>
  <c r="QI6" i="1"/>
  <c r="BX6" i="22" s="1"/>
  <c r="QH6" i="1"/>
  <c r="BV6" i="22" s="1"/>
  <c r="QG6" i="1"/>
  <c r="BU6" i="22" s="1"/>
  <c r="PO6" i="1" l="1"/>
  <c r="BN6" i="22" s="1"/>
  <c r="PM11" i="1"/>
  <c r="PP6" i="1"/>
  <c r="BP6" i="22" s="1"/>
  <c r="PN6" i="1"/>
  <c r="BM6" i="22" s="1"/>
  <c r="PS6" i="1"/>
  <c r="BQ6" i="22" s="1"/>
  <c r="PV6" i="1"/>
  <c r="BS6" i="22" s="1"/>
  <c r="PY6" i="1"/>
  <c r="BT6" i="22" s="1"/>
  <c r="PX1" i="1"/>
  <c r="PA13" i="1"/>
  <c r="QQ1" i="1" l="1"/>
  <c r="RD1" i="1"/>
  <c r="B3" i="20"/>
  <c r="K52" i="20"/>
  <c r="K28" i="20"/>
  <c r="K6" i="20"/>
  <c r="K26" i="20"/>
  <c r="R36" i="20"/>
  <c r="G15" i="20"/>
  <c r="R18" i="20"/>
  <c r="K41" i="20"/>
  <c r="R21" i="20"/>
  <c r="G36" i="20"/>
  <c r="K42" i="20"/>
  <c r="K50" i="20"/>
  <c r="G45" i="20"/>
  <c r="K34" i="20"/>
  <c r="K49" i="20"/>
  <c r="R17" i="20"/>
  <c r="K20" i="20"/>
  <c r="K36" i="20"/>
  <c r="G14" i="20"/>
  <c r="K21" i="20"/>
  <c r="G27" i="20"/>
  <c r="G18" i="20"/>
  <c r="G48" i="20"/>
  <c r="G22" i="20"/>
  <c r="K40" i="20"/>
  <c r="G53" i="20"/>
  <c r="R32" i="20"/>
  <c r="K22" i="20"/>
  <c r="K7" i="20"/>
  <c r="R7" i="20"/>
  <c r="K47" i="20"/>
  <c r="R24" i="20"/>
  <c r="R46" i="20"/>
  <c r="R44" i="20"/>
  <c r="K11" i="20"/>
  <c r="G25" i="20"/>
  <c r="R15" i="20"/>
  <c r="R13" i="20"/>
  <c r="G4" i="20"/>
  <c r="G30" i="20"/>
  <c r="G8" i="20"/>
  <c r="K31" i="20"/>
  <c r="G29" i="20"/>
  <c r="G20" i="20"/>
  <c r="R43" i="20"/>
  <c r="G23" i="20"/>
  <c r="G32" i="20"/>
  <c r="G5" i="20"/>
  <c r="G43" i="20"/>
  <c r="G28" i="20"/>
  <c r="R30" i="20"/>
  <c r="R45" i="20"/>
  <c r="G54" i="20"/>
  <c r="K27" i="20"/>
  <c r="G21" i="20"/>
  <c r="R41" i="20"/>
  <c r="G38" i="20"/>
  <c r="K19" i="20"/>
  <c r="R26" i="20"/>
  <c r="R37" i="20"/>
  <c r="G47" i="20"/>
  <c r="G6" i="20"/>
  <c r="K54" i="20"/>
  <c r="K5" i="20"/>
  <c r="R5" i="20"/>
  <c r="K10" i="20"/>
  <c r="R11" i="20"/>
  <c r="R54" i="20"/>
  <c r="K30" i="20"/>
  <c r="R8" i="20"/>
  <c r="R48" i="20"/>
  <c r="G35" i="20"/>
  <c r="G37" i="20"/>
  <c r="R52" i="20"/>
  <c r="K53" i="20"/>
  <c r="G33" i="20"/>
  <c r="G7" i="20"/>
  <c r="R9" i="20"/>
  <c r="G13" i="20"/>
  <c r="K33" i="20"/>
  <c r="G49" i="20"/>
  <c r="G39" i="20"/>
  <c r="G46" i="20"/>
  <c r="G44" i="20"/>
  <c r="R6" i="20"/>
  <c r="K18" i="20"/>
  <c r="K24" i="20"/>
  <c r="K4" i="20"/>
  <c r="G41" i="20"/>
  <c r="R35" i="20"/>
  <c r="G19" i="20"/>
  <c r="R27" i="20"/>
  <c r="G9" i="20"/>
  <c r="R19" i="20"/>
  <c r="K32" i="20"/>
  <c r="K29" i="20"/>
  <c r="R42" i="20"/>
  <c r="K39" i="20"/>
  <c r="K14" i="20"/>
  <c r="K46" i="20"/>
  <c r="K38" i="20"/>
  <c r="R38" i="20"/>
  <c r="R53" i="20"/>
  <c r="G50" i="20"/>
  <c r="R4" i="20"/>
  <c r="R31" i="20"/>
  <c r="K35" i="20"/>
  <c r="K45" i="20"/>
  <c r="G17" i="20"/>
  <c r="G12" i="20"/>
  <c r="R10" i="20"/>
  <c r="K25" i="20"/>
  <c r="G40" i="20"/>
  <c r="K15" i="20"/>
  <c r="K9" i="20"/>
  <c r="K8" i="20"/>
  <c r="K43" i="20"/>
  <c r="G10" i="20"/>
  <c r="G24" i="20"/>
  <c r="G26" i="20"/>
  <c r="R12" i="20"/>
  <c r="R14" i="20"/>
  <c r="R51" i="20"/>
  <c r="K44" i="20"/>
  <c r="R23" i="20"/>
  <c r="G51" i="20"/>
  <c r="R40" i="20"/>
  <c r="R25" i="20"/>
  <c r="R49" i="20"/>
  <c r="R47" i="20"/>
  <c r="K37" i="20"/>
  <c r="R28" i="20"/>
  <c r="R39" i="20"/>
  <c r="R20" i="20"/>
  <c r="K13" i="20"/>
  <c r="G16" i="20"/>
  <c r="K23" i="20"/>
  <c r="R29" i="20"/>
  <c r="K51" i="20"/>
  <c r="K12" i="20"/>
  <c r="K17" i="20"/>
  <c r="K48" i="20"/>
  <c r="G42" i="20"/>
  <c r="R33" i="20"/>
  <c r="R50" i="20"/>
  <c r="R22" i="20"/>
  <c r="K16" i="20"/>
  <c r="G31" i="20"/>
  <c r="G11" i="20"/>
  <c r="G34" i="20"/>
  <c r="G52" i="20"/>
  <c r="R16" i="20"/>
  <c r="R34" i="20"/>
  <c r="Q4" i="20" l="1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SD9" i="1"/>
  <c r="SG10" i="1"/>
  <c r="SF10" i="1"/>
  <c r="SE10" i="1"/>
  <c r="SD10" i="1"/>
  <c r="PQ1" i="1" l="1"/>
  <c r="MB2" i="1"/>
  <c r="MA1" i="1"/>
  <c r="CZ13" i="1"/>
  <c r="DK13" i="1" s="1"/>
  <c r="CZ12" i="1"/>
  <c r="DV12" i="1" s="1"/>
  <c r="QW1" i="1" l="1"/>
  <c r="QJ1" i="1"/>
  <c r="EJ12" i="1"/>
  <c r="DV13" i="1"/>
  <c r="DK12" i="1"/>
  <c r="EJ13" i="1"/>
  <c r="A15" i="4"/>
  <c r="A16" i="4"/>
  <c r="A17" i="4"/>
  <c r="A18" i="4"/>
  <c r="A19" i="4"/>
  <c r="A20" i="4"/>
  <c r="A21" i="4"/>
  <c r="C9" i="21"/>
  <c r="AY1" i="22"/>
  <c r="AY8" i="22" l="1"/>
  <c r="AY12" i="22"/>
  <c r="AY16" i="22"/>
  <c r="AY20" i="22"/>
  <c r="AY24" i="22"/>
  <c r="AY28" i="22"/>
  <c r="AY32" i="22"/>
  <c r="AY36" i="22"/>
  <c r="AY35" i="22"/>
  <c r="AY9" i="22"/>
  <c r="AY13" i="22"/>
  <c r="AY17" i="22"/>
  <c r="AY21" i="22"/>
  <c r="AY25" i="22"/>
  <c r="AY29" i="22"/>
  <c r="AY33" i="22"/>
  <c r="AY7" i="22"/>
  <c r="AY10" i="22"/>
  <c r="AY14" i="22"/>
  <c r="AY18" i="22"/>
  <c r="AY22" i="22"/>
  <c r="AY26" i="22"/>
  <c r="AY30" i="22"/>
  <c r="AY34" i="22"/>
  <c r="AY31" i="22"/>
  <c r="AY11" i="22"/>
  <c r="AY15" i="22"/>
  <c r="AY19" i="22"/>
  <c r="AY23" i="22"/>
  <c r="AY27" i="22"/>
  <c r="AZ2" i="22"/>
  <c r="BD2" i="22"/>
  <c r="PT2" i="1" l="1"/>
  <c r="PT1" i="1"/>
  <c r="MD2" i="1"/>
  <c r="MD1" i="1"/>
  <c r="ME6" i="1"/>
  <c r="JO6" i="1"/>
  <c r="BI6" i="22" l="1"/>
  <c r="QZ1" i="1"/>
  <c r="QM1" i="1"/>
  <c r="QZ2" i="1"/>
  <c r="QM2" i="1"/>
  <c r="P3" i="20" l="1"/>
  <c r="M3" i="20"/>
  <c r="I3" i="20"/>
  <c r="H26" i="4"/>
  <c r="E3" i="20"/>
  <c r="F23" i="21"/>
  <c r="F24" i="21"/>
  <c r="F25" i="21"/>
  <c r="F22" i="21"/>
  <c r="G3" i="20"/>
  <c r="R3" i="20"/>
  <c r="K3" i="20"/>
  <c r="J3" i="20" l="1"/>
  <c r="Q3" i="20"/>
  <c r="F3" i="20"/>
  <c r="A1" i="21" l="1"/>
  <c r="B1" i="21"/>
  <c r="A2" i="22"/>
  <c r="EH11" i="1"/>
  <c r="EM6" i="1"/>
  <c r="AC6" i="22" s="1"/>
  <c r="EK6" i="1"/>
  <c r="AB6" i="22" s="1"/>
  <c r="DT11" i="1"/>
  <c r="DY6" i="1"/>
  <c r="V6" i="22" s="1"/>
  <c r="DW6" i="1"/>
  <c r="U6" i="22" s="1"/>
  <c r="DI11" i="1"/>
  <c r="DN6" i="1"/>
  <c r="O6" i="22" s="1"/>
  <c r="DL6" i="1"/>
  <c r="N6" i="22" s="1"/>
  <c r="DB12" i="1"/>
  <c r="DB13" i="1"/>
  <c r="CY1" i="1"/>
  <c r="AX29" i="4"/>
  <c r="B60" i="21"/>
  <c r="G49" i="21"/>
  <c r="G39" i="21"/>
  <c r="G29" i="21"/>
  <c r="G19" i="21"/>
  <c r="DA3" i="22"/>
  <c r="CW3" i="22"/>
  <c r="CS3" i="22"/>
  <c r="CM3" i="22"/>
  <c r="DA4" i="22"/>
  <c r="CW4" i="22"/>
  <c r="CS4" i="22"/>
  <c r="CM4" i="22"/>
  <c r="SG6" i="1"/>
  <c r="CY6" i="22" s="1"/>
  <c r="SF6" i="1"/>
  <c r="CU6" i="22" s="1"/>
  <c r="SE6" i="1"/>
  <c r="CO6" i="22" s="1"/>
  <c r="SD6" i="1"/>
  <c r="CK6" i="22" s="1"/>
  <c r="OV10" i="1"/>
  <c r="AJ25" i="4"/>
  <c r="LR10" i="1"/>
  <c r="MH6" i="1"/>
  <c r="BL6" i="22" s="1"/>
  <c r="AJ20" i="4"/>
  <c r="AJ19" i="4"/>
  <c r="AJ18" i="4"/>
  <c r="LY6" i="1"/>
  <c r="LX6" i="1"/>
  <c r="BF6" i="22" s="1"/>
  <c r="H60" i="21"/>
  <c r="MB3" i="1" l="1"/>
  <c r="PQ2" i="1"/>
  <c r="EL13" i="1"/>
  <c r="DM13" i="1"/>
  <c r="DX13" i="1"/>
  <c r="EL12" i="1"/>
  <c r="DX12" i="1"/>
  <c r="DM12" i="1"/>
  <c r="JT10" i="1"/>
  <c r="JV6" i="1"/>
  <c r="BE6" i="22" s="1"/>
  <c r="AJ17" i="4"/>
  <c r="AJ16" i="4"/>
  <c r="AJ15" i="4"/>
  <c r="AJ14" i="4"/>
  <c r="AJ13" i="4"/>
  <c r="AJ12" i="4"/>
  <c r="AJ11" i="4"/>
  <c r="EF10" i="1"/>
  <c r="DR10" i="1"/>
  <c r="DG10" i="1"/>
  <c r="HA11" i="1"/>
  <c r="B5" i="1"/>
  <c r="B4" i="1"/>
  <c r="QW2" i="1" l="1"/>
  <c r="QJ2" i="1"/>
  <c r="D25" i="21"/>
  <c r="D24" i="21"/>
  <c r="D23" i="21"/>
  <c r="D22" i="21"/>
  <c r="EF11" i="1"/>
  <c r="EH6" i="1"/>
  <c r="AA6" i="22" s="1"/>
  <c r="EG6" i="1"/>
  <c r="W6" i="22" s="1"/>
  <c r="CX12" i="1"/>
  <c r="Y5" i="4"/>
  <c r="DR11" i="1"/>
  <c r="DT6" i="1"/>
  <c r="T6" i="22" s="1"/>
  <c r="DS6" i="1"/>
  <c r="P6" i="22" s="1"/>
  <c r="DG11" i="1"/>
  <c r="DI6" i="1"/>
  <c r="M6" i="22" s="1"/>
  <c r="DH6" i="1"/>
  <c r="I6" i="22" s="1"/>
  <c r="C12" i="21"/>
  <c r="CW6" i="1"/>
  <c r="B6" i="22" s="1"/>
  <c r="CV11" i="1"/>
  <c r="DC6" i="1"/>
  <c r="H6" i="22" s="1"/>
  <c r="DA6" i="1"/>
  <c r="G6" i="22" s="1"/>
  <c r="CX6" i="1"/>
  <c r="F6" i="22" s="1"/>
  <c r="I4" i="22"/>
  <c r="W4" i="22"/>
  <c r="B4" i="22"/>
  <c r="P4" i="22"/>
  <c r="IT2" i="1" l="1"/>
  <c r="HV2" i="1"/>
  <c r="IK2" i="1"/>
  <c r="QI2" i="1"/>
  <c r="QV2" i="1"/>
  <c r="EH12" i="1"/>
  <c r="DI12" i="1"/>
  <c r="DT12" i="1"/>
  <c r="PP2" i="1"/>
  <c r="N73" i="21"/>
  <c r="N68" i="21"/>
  <c r="H22" i="4" l="1"/>
  <c r="H23" i="4"/>
  <c r="H24" i="4"/>
  <c r="H25" i="4"/>
  <c r="B1" i="20" l="1"/>
  <c r="TH18" i="1" l="1"/>
  <c r="TH20" i="1" s="1"/>
  <c r="BH4" i="18"/>
  <c r="FC12" i="1"/>
  <c r="KG12" i="1"/>
  <c r="MJ12" i="1"/>
  <c r="RX12" i="1"/>
  <c r="TD10" i="1"/>
  <c r="RV10" i="1" l="1"/>
  <c r="E3" i="11"/>
  <c r="E4" i="11"/>
  <c r="D1" i="18" l="1"/>
  <c r="BN4" i="18"/>
  <c r="BN5" i="18"/>
  <c r="BN6" i="18"/>
  <c r="BN7" i="18"/>
  <c r="BN8" i="18"/>
  <c r="BN9" i="18"/>
  <c r="BN10" i="18"/>
  <c r="BN11" i="18"/>
  <c r="BN12" i="18"/>
  <c r="BN13" i="18"/>
  <c r="BN14" i="18"/>
  <c r="BN15" i="18"/>
  <c r="BN16" i="18"/>
  <c r="BN17" i="18"/>
  <c r="BN18" i="18"/>
  <c r="BN19" i="18"/>
  <c r="BN20" i="18"/>
  <c r="BN21" i="18"/>
  <c r="BN22" i="18"/>
  <c r="BN23" i="18"/>
  <c r="BN24" i="18"/>
  <c r="BN25" i="18"/>
  <c r="BN26" i="18"/>
  <c r="BN27" i="18"/>
  <c r="BN28" i="18"/>
  <c r="BN29" i="18"/>
  <c r="BN30" i="18"/>
  <c r="BN31" i="18"/>
  <c r="BN32" i="18"/>
  <c r="BN33" i="18"/>
  <c r="BL4" i="18"/>
  <c r="BL5" i="18"/>
  <c r="BL6" i="18"/>
  <c r="BL7" i="18"/>
  <c r="BL8" i="18"/>
  <c r="BL9" i="18"/>
  <c r="BL10" i="18"/>
  <c r="BL11" i="18"/>
  <c r="BL12" i="18"/>
  <c r="BL13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29" i="18"/>
  <c r="BL30" i="18"/>
  <c r="BL31" i="18"/>
  <c r="BL32" i="18"/>
  <c r="BL33" i="18"/>
  <c r="BJ4" i="18"/>
  <c r="BJ5" i="18"/>
  <c r="BJ6" i="18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29" i="18"/>
  <c r="BJ30" i="18"/>
  <c r="BJ31" i="18"/>
  <c r="BJ32" i="18"/>
  <c r="BJ33" i="18"/>
  <c r="BH5" i="18"/>
  <c r="BH6" i="18"/>
  <c r="BH7" i="18"/>
  <c r="BH8" i="18"/>
  <c r="BH9" i="18"/>
  <c r="BH10" i="18"/>
  <c r="BH11" i="18"/>
  <c r="BH12" i="18"/>
  <c r="BH13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29" i="18"/>
  <c r="BH30" i="18"/>
  <c r="BH31" i="18"/>
  <c r="BH32" i="18"/>
  <c r="BH33" i="18"/>
  <c r="BF4" i="18"/>
  <c r="BF5" i="18"/>
  <c r="BF6" i="18"/>
  <c r="BF7" i="18"/>
  <c r="BF8" i="18"/>
  <c r="BF9" i="18"/>
  <c r="BF10" i="18"/>
  <c r="BF11" i="18"/>
  <c r="BF12" i="18"/>
  <c r="BF13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29" i="18"/>
  <c r="BF30" i="18"/>
  <c r="BF31" i="18"/>
  <c r="BF32" i="18"/>
  <c r="BF33" i="18"/>
  <c r="BD4" i="18"/>
  <c r="BD5" i="18"/>
  <c r="BD6" i="18"/>
  <c r="BD7" i="18"/>
  <c r="BD8" i="18"/>
  <c r="BD9" i="18"/>
  <c r="BD10" i="18"/>
  <c r="BD11" i="18"/>
  <c r="BD12" i="18"/>
  <c r="BD13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29" i="18"/>
  <c r="BD30" i="18"/>
  <c r="BD31" i="18"/>
  <c r="BD32" i="18"/>
  <c r="BD33" i="18"/>
  <c r="BB4" i="18"/>
  <c r="BB5" i="18"/>
  <c r="BB6" i="18"/>
  <c r="BB7" i="18"/>
  <c r="BB8" i="18"/>
  <c r="BB9" i="18"/>
  <c r="BB10" i="18"/>
  <c r="BB11" i="18"/>
  <c r="BB12" i="18"/>
  <c r="BB13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29" i="18"/>
  <c r="BB30" i="18"/>
  <c r="BB31" i="18"/>
  <c r="BB32" i="18"/>
  <c r="BB33" i="18"/>
  <c r="AZ4" i="18"/>
  <c r="AZ5" i="18"/>
  <c r="AZ6" i="18"/>
  <c r="AZ7" i="18"/>
  <c r="AZ8" i="18"/>
  <c r="AZ9" i="18"/>
  <c r="AZ10" i="18"/>
  <c r="AZ11" i="18"/>
  <c r="AZ12" i="18"/>
  <c r="AZ13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29" i="18"/>
  <c r="AZ30" i="18"/>
  <c r="AZ31" i="18"/>
  <c r="AZ32" i="18"/>
  <c r="AZ33" i="18"/>
  <c r="AX4" i="18"/>
  <c r="AX5" i="18"/>
  <c r="AX6" i="18"/>
  <c r="AX7" i="18"/>
  <c r="AX8" i="18"/>
  <c r="AX9" i="18"/>
  <c r="AX10" i="18"/>
  <c r="AX11" i="18"/>
  <c r="AX12" i="18"/>
  <c r="AX13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29" i="18"/>
  <c r="AX30" i="18"/>
  <c r="AX31" i="18"/>
  <c r="AX32" i="18"/>
  <c r="AX33" i="18"/>
  <c r="AV4" i="18"/>
  <c r="AV5" i="18"/>
  <c r="AV6" i="18"/>
  <c r="AV7" i="18"/>
  <c r="AV8" i="18"/>
  <c r="AV9" i="18"/>
  <c r="AV10" i="18"/>
  <c r="AV11" i="18"/>
  <c r="AV12" i="18"/>
  <c r="AV13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T4" i="18"/>
  <c r="AT5" i="18"/>
  <c r="AT6" i="18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29" i="18"/>
  <c r="AT30" i="18"/>
  <c r="AT31" i="18"/>
  <c r="AT32" i="18"/>
  <c r="AT33" i="18"/>
  <c r="AR4" i="18"/>
  <c r="AR5" i="18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P4" i="18"/>
  <c r="AP5" i="18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N4" i="18"/>
  <c r="AN5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J4" i="18"/>
  <c r="AJ5" i="18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H4" i="18"/>
  <c r="AH5" i="18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F4" i="18"/>
  <c r="AF5" i="18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D4" i="18"/>
  <c r="AD5" i="18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B4" i="18"/>
  <c r="AB5" i="18"/>
  <c r="AB6" i="18"/>
  <c r="AB7" i="18"/>
  <c r="AB8" i="18"/>
  <c r="AB9" i="18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Z4" i="18"/>
  <c r="Z5" i="18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X4" i="18"/>
  <c r="X5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T4" i="18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N4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4" i="18"/>
  <c r="BN2" i="18"/>
  <c r="BL2" i="18"/>
  <c r="BJ2" i="18"/>
  <c r="BH2" i="18"/>
  <c r="BF2" i="18"/>
  <c r="BD2" i="18"/>
  <c r="BB2" i="18"/>
  <c r="AZ2" i="18"/>
  <c r="AX2" i="18"/>
  <c r="AV2" i="18"/>
  <c r="AT2" i="18"/>
  <c r="AR2" i="18"/>
  <c r="AN2" i="18"/>
  <c r="AP2" i="18"/>
  <c r="AJ2" i="18"/>
  <c r="AH2" i="18"/>
  <c r="AF2" i="18"/>
  <c r="AD2" i="18"/>
  <c r="AB2" i="18"/>
  <c r="Z2" i="18"/>
  <c r="X2" i="18"/>
  <c r="V2" i="18"/>
  <c r="T2" i="18"/>
  <c r="R2" i="18"/>
  <c r="P2" i="18"/>
  <c r="N2" i="18"/>
  <c r="L2" i="18"/>
  <c r="B4" i="18" a="1"/>
  <c r="B4" i="18" s="1"/>
  <c r="A4" i="18" a="1"/>
  <c r="A4" i="18" s="1"/>
  <c r="B3" i="18"/>
  <c r="A3" i="18"/>
  <c r="B2" i="18"/>
  <c r="A2" i="18"/>
  <c r="B1" i="18"/>
  <c r="A1" i="18"/>
  <c r="J2" i="18"/>
  <c r="H2" i="18"/>
  <c r="B31" i="18" l="1"/>
  <c r="B27" i="18"/>
  <c r="B23" i="18"/>
  <c r="B19" i="18"/>
  <c r="B15" i="18"/>
  <c r="B11" i="18"/>
  <c r="B7" i="18"/>
  <c r="B30" i="18"/>
  <c r="B22" i="18"/>
  <c r="B18" i="18"/>
  <c r="B14" i="18"/>
  <c r="B10" i="18"/>
  <c r="B6" i="18"/>
  <c r="B26" i="18"/>
  <c r="B33" i="18"/>
  <c r="B29" i="18"/>
  <c r="B25" i="18"/>
  <c r="B21" i="18"/>
  <c r="B17" i="18"/>
  <c r="B13" i="18"/>
  <c r="B9" i="18"/>
  <c r="B5" i="18"/>
  <c r="B32" i="18"/>
  <c r="B28" i="18"/>
  <c r="B24" i="18"/>
  <c r="B20" i="18"/>
  <c r="B16" i="18"/>
  <c r="B12" i="18"/>
  <c r="B8" i="18"/>
  <c r="A6" i="18"/>
  <c r="A5" i="18"/>
  <c r="A31" i="18"/>
  <c r="A27" i="18"/>
  <c r="A23" i="18"/>
  <c r="A19" i="18"/>
  <c r="A15" i="18"/>
  <c r="A11" i="18"/>
  <c r="A7" i="18"/>
  <c r="A30" i="18"/>
  <c r="A26" i="18"/>
  <c r="A22" i="18"/>
  <c r="A18" i="18"/>
  <c r="A14" i="18"/>
  <c r="A10" i="18"/>
  <c r="A33" i="18"/>
  <c r="A29" i="18"/>
  <c r="A25" i="18"/>
  <c r="A21" i="18"/>
  <c r="A17" i="18"/>
  <c r="A13" i="18"/>
  <c r="A9" i="18"/>
  <c r="A32" i="18"/>
  <c r="A28" i="18"/>
  <c r="A24" i="18"/>
  <c r="A20" i="18"/>
  <c r="A16" i="18"/>
  <c r="A12" i="18"/>
  <c r="A8" i="18"/>
  <c r="SJ13" i="1"/>
  <c r="SC9" i="1"/>
  <c r="TB10" i="1" s="1"/>
  <c r="SB9" i="1"/>
  <c r="SZ10" i="1" s="1"/>
  <c r="SA9" i="1"/>
  <c r="SX10" i="1" s="1"/>
  <c r="RZ9" i="1"/>
  <c r="SV10" i="1" s="1"/>
  <c r="B36" i="18" l="1" a="1"/>
  <c r="B36" i="18" s="1"/>
  <c r="A36" i="18" a="1"/>
  <c r="A36" i="18" s="1"/>
  <c r="JD16" i="1"/>
  <c r="JX10" i="1"/>
  <c r="JW10" i="1"/>
  <c r="AB19" i="4"/>
  <c r="AC19" i="4"/>
  <c r="AI19" i="4" l="1"/>
  <c r="AH19" i="4"/>
  <c r="B44" i="18"/>
  <c r="B56" i="18"/>
  <c r="B52" i="18"/>
  <c r="B40" i="18"/>
  <c r="B55" i="18"/>
  <c r="B54" i="18"/>
  <c r="B42" i="18"/>
  <c r="B50" i="18"/>
  <c r="B65" i="18"/>
  <c r="B38" i="18"/>
  <c r="B61" i="18"/>
  <c r="B58" i="18"/>
  <c r="B49" i="18"/>
  <c r="B63" i="18"/>
  <c r="B57" i="18"/>
  <c r="B51" i="18"/>
  <c r="B45" i="18"/>
  <c r="B59" i="18"/>
  <c r="B53" i="18"/>
  <c r="B39" i="18"/>
  <c r="B64" i="18"/>
  <c r="B47" i="18"/>
  <c r="B41" i="18"/>
  <c r="B62" i="18"/>
  <c r="B60" i="18"/>
  <c r="B43" i="18"/>
  <c r="B37" i="18"/>
  <c r="B46" i="18"/>
  <c r="B48" i="18"/>
  <c r="A39" i="18"/>
  <c r="A65" i="18"/>
  <c r="A64" i="18"/>
  <c r="A46" i="18"/>
  <c r="A59" i="18"/>
  <c r="A49" i="18"/>
  <c r="A58" i="18"/>
  <c r="A48" i="18"/>
  <c r="A50" i="18"/>
  <c r="A40" i="18"/>
  <c r="A37" i="18"/>
  <c r="A57" i="18"/>
  <c r="A38" i="18"/>
  <c r="A61" i="18"/>
  <c r="A51" i="18"/>
  <c r="A41" i="18"/>
  <c r="A47" i="18"/>
  <c r="A56" i="18"/>
  <c r="A43" i="18"/>
  <c r="A60" i="18"/>
  <c r="A42" i="18"/>
  <c r="A54" i="18"/>
  <c r="A44" i="18"/>
  <c r="A63" i="18"/>
  <c r="A53" i="18"/>
  <c r="A55" i="18"/>
  <c r="A45" i="18"/>
  <c r="A62" i="18"/>
  <c r="A52" i="18"/>
  <c r="A3" i="1"/>
  <c r="A2" i="1"/>
  <c r="TB20" i="1" l="1"/>
  <c r="TB24" i="1"/>
  <c r="TB28" i="1"/>
  <c r="TB32" i="1"/>
  <c r="TB36" i="1"/>
  <c r="TB40" i="1"/>
  <c r="TB44" i="1"/>
  <c r="TB48" i="1"/>
  <c r="SZ23" i="1"/>
  <c r="SZ27" i="1"/>
  <c r="SZ31" i="1"/>
  <c r="SZ35" i="1"/>
  <c r="SZ39" i="1"/>
  <c r="SZ43" i="1"/>
  <c r="SZ47" i="1"/>
  <c r="SX26" i="1"/>
  <c r="SX34" i="1"/>
  <c r="SX42" i="1"/>
  <c r="SZ19" i="1"/>
  <c r="SV26" i="1"/>
  <c r="SV38" i="1"/>
  <c r="TB21" i="1"/>
  <c r="TB25" i="1"/>
  <c r="TB29" i="1"/>
  <c r="TB33" i="1"/>
  <c r="TB37" i="1"/>
  <c r="TB41" i="1"/>
  <c r="TB45" i="1"/>
  <c r="SZ20" i="1"/>
  <c r="SZ24" i="1"/>
  <c r="SZ28" i="1"/>
  <c r="SZ32" i="1"/>
  <c r="SZ36" i="1"/>
  <c r="SZ40" i="1"/>
  <c r="SZ44" i="1"/>
  <c r="SZ48" i="1"/>
  <c r="SX23" i="1"/>
  <c r="SX27" i="1"/>
  <c r="SX31" i="1"/>
  <c r="SX35" i="1"/>
  <c r="SX39" i="1"/>
  <c r="SX43" i="1"/>
  <c r="SX47" i="1"/>
  <c r="SX19" i="1"/>
  <c r="SV23" i="1"/>
  <c r="SV27" i="1"/>
  <c r="SV31" i="1"/>
  <c r="SV35" i="1"/>
  <c r="SV39" i="1"/>
  <c r="SV43" i="1"/>
  <c r="SV47" i="1"/>
  <c r="SZ45" i="1"/>
  <c r="SX28" i="1"/>
  <c r="SX36" i="1"/>
  <c r="SX44" i="1"/>
  <c r="SV20" i="1"/>
  <c r="SV24" i="1"/>
  <c r="SV32" i="1"/>
  <c r="SV36" i="1"/>
  <c r="SV44" i="1"/>
  <c r="TB22" i="1"/>
  <c r="TB26" i="1"/>
  <c r="TB30" i="1"/>
  <c r="TB34" i="1"/>
  <c r="TB38" i="1"/>
  <c r="TB42" i="1"/>
  <c r="TB46" i="1"/>
  <c r="SZ21" i="1"/>
  <c r="SZ25" i="1"/>
  <c r="SZ29" i="1"/>
  <c r="SZ33" i="1"/>
  <c r="SZ37" i="1"/>
  <c r="SZ41" i="1"/>
  <c r="SX20" i="1"/>
  <c r="SX24" i="1"/>
  <c r="SX32" i="1"/>
  <c r="SX40" i="1"/>
  <c r="SX48" i="1"/>
  <c r="SV28" i="1"/>
  <c r="SV40" i="1"/>
  <c r="SV48" i="1"/>
  <c r="TB23" i="1"/>
  <c r="TB27" i="1"/>
  <c r="TB31" i="1"/>
  <c r="TB35" i="1"/>
  <c r="TB39" i="1"/>
  <c r="TB43" i="1"/>
  <c r="TB47" i="1"/>
  <c r="SZ22" i="1"/>
  <c r="SZ26" i="1"/>
  <c r="SZ30" i="1"/>
  <c r="SZ34" i="1"/>
  <c r="SZ38" i="1"/>
  <c r="SZ42" i="1"/>
  <c r="SZ46" i="1"/>
  <c r="SX21" i="1"/>
  <c r="SX25" i="1"/>
  <c r="SX29" i="1"/>
  <c r="SX33" i="1"/>
  <c r="SX37" i="1"/>
  <c r="SX41" i="1"/>
  <c r="SX45" i="1"/>
  <c r="TB19" i="1"/>
  <c r="SV21" i="1"/>
  <c r="SV25" i="1"/>
  <c r="SV29" i="1"/>
  <c r="SV33" i="1"/>
  <c r="SV37" i="1"/>
  <c r="SV41" i="1"/>
  <c r="SV45" i="1"/>
  <c r="SV19" i="1"/>
  <c r="SX22" i="1"/>
  <c r="SX30" i="1"/>
  <c r="SX38" i="1"/>
  <c r="SX46" i="1"/>
  <c r="SV22" i="1"/>
  <c r="SV30" i="1"/>
  <c r="SV34" i="1"/>
  <c r="SV42" i="1"/>
  <c r="SV46" i="1"/>
  <c r="GO23" i="1"/>
  <c r="GQ26" i="1"/>
  <c r="HC26" i="1" s="1"/>
  <c r="GQ28" i="1"/>
  <c r="HC28" i="1" s="1"/>
  <c r="GO29" i="1"/>
  <c r="GS29" i="1"/>
  <c r="HE29" i="1" s="1"/>
  <c r="GS31" i="1"/>
  <c r="HE31" i="1" s="1"/>
  <c r="GQ32" i="1"/>
  <c r="HC32" i="1" s="1"/>
  <c r="GO33" i="1"/>
  <c r="GS33" i="1"/>
  <c r="HE33" i="1" s="1"/>
  <c r="GQ34" i="1"/>
  <c r="GO37" i="1"/>
  <c r="GS37" i="1"/>
  <c r="HE37" i="1" s="1"/>
  <c r="GQ38" i="1"/>
  <c r="HC38" i="1" s="1"/>
  <c r="GO39" i="1"/>
  <c r="GQ40" i="1"/>
  <c r="GO41" i="1"/>
  <c r="GS41" i="1"/>
  <c r="HE41" i="1" s="1"/>
  <c r="GQ42" i="1"/>
  <c r="HC42" i="1" s="1"/>
  <c r="GO43" i="1"/>
  <c r="GS43" i="1"/>
  <c r="HE43" i="1" s="1"/>
  <c r="GQ44" i="1"/>
  <c r="HC44" i="1" s="1"/>
  <c r="GO45" i="1"/>
  <c r="GS45" i="1"/>
  <c r="HE45" i="1" s="1"/>
  <c r="GQ46" i="1"/>
  <c r="HC46" i="1" s="1"/>
  <c r="GO47" i="1"/>
  <c r="GS47" i="1"/>
  <c r="HE47" i="1" s="1"/>
  <c r="GQ48" i="1"/>
  <c r="HC48" i="1" s="1"/>
  <c r="GR26" i="1"/>
  <c r="GP29" i="1"/>
  <c r="GT29" i="1"/>
  <c r="HF29" i="1" s="1"/>
  <c r="GR30" i="1"/>
  <c r="HD30" i="1" s="1"/>
  <c r="GT31" i="1"/>
  <c r="GR32" i="1"/>
  <c r="HD32" i="1" s="1"/>
  <c r="GP33" i="1"/>
  <c r="GR34" i="1"/>
  <c r="GT35" i="1"/>
  <c r="HF35" i="1" s="1"/>
  <c r="GP37" i="1"/>
  <c r="HB37" i="1" s="1"/>
  <c r="GT37" i="1"/>
  <c r="HF37" i="1" s="1"/>
  <c r="GP39" i="1"/>
  <c r="HB39" i="1" s="1"/>
  <c r="GR40" i="1"/>
  <c r="HD40" i="1" s="1"/>
  <c r="GP41" i="1"/>
  <c r="HB41" i="1" s="1"/>
  <c r="GT41" i="1"/>
  <c r="HF41" i="1" s="1"/>
  <c r="GR42" i="1"/>
  <c r="HD42" i="1" s="1"/>
  <c r="GP43" i="1"/>
  <c r="HB43" i="1" s="1"/>
  <c r="GR27" i="1"/>
  <c r="HD27" i="1" s="1"/>
  <c r="GT28" i="1"/>
  <c r="HF28" i="1" s="1"/>
  <c r="GR31" i="1"/>
  <c r="HD31" i="1" s="1"/>
  <c r="GT32" i="1"/>
  <c r="HF32" i="1" s="1"/>
  <c r="GP34" i="1"/>
  <c r="HB34" i="1" s="1"/>
  <c r="GP38" i="1"/>
  <c r="HB38" i="1" s="1"/>
  <c r="GR39" i="1"/>
  <c r="HD39" i="1" s="1"/>
  <c r="GP42" i="1"/>
  <c r="HB42" i="1" s="1"/>
  <c r="GR43" i="1"/>
  <c r="HD43" i="1" s="1"/>
  <c r="GR44" i="1"/>
  <c r="HD44" i="1" s="1"/>
  <c r="GQ45" i="1"/>
  <c r="HC45" i="1" s="1"/>
  <c r="GP46" i="1"/>
  <c r="HB46" i="1" s="1"/>
  <c r="GP47" i="1"/>
  <c r="HB47" i="1" s="1"/>
  <c r="GO48" i="1"/>
  <c r="GT48" i="1"/>
  <c r="HF48" i="1" s="1"/>
  <c r="GO24" i="1"/>
  <c r="GO30" i="1"/>
  <c r="GO34" i="1"/>
  <c r="GO38" i="1"/>
  <c r="GO42" i="1"/>
  <c r="GP45" i="1"/>
  <c r="HB45" i="1" s="1"/>
  <c r="GS48" i="1"/>
  <c r="HE48" i="1" s="1"/>
  <c r="GS26" i="1"/>
  <c r="GS30" i="1"/>
  <c r="GO32" i="1"/>
  <c r="GQ33" i="1"/>
  <c r="GS34" i="1"/>
  <c r="GO36" i="1"/>
  <c r="GO40" i="1"/>
  <c r="GQ41" i="1"/>
  <c r="HC41" i="1" s="1"/>
  <c r="GS42" i="1"/>
  <c r="HE42" i="1" s="1"/>
  <c r="GT43" i="1"/>
  <c r="HF43" i="1" s="1"/>
  <c r="GS44" i="1"/>
  <c r="HE44" i="1" s="1"/>
  <c r="GR45" i="1"/>
  <c r="HD45" i="1" s="1"/>
  <c r="GR46" i="1"/>
  <c r="HD46" i="1" s="1"/>
  <c r="GQ47" i="1"/>
  <c r="HC47" i="1" s="1"/>
  <c r="GP48" i="1"/>
  <c r="HB48" i="1" s="1"/>
  <c r="GQ31" i="1"/>
  <c r="HC31" i="1" s="1"/>
  <c r="GS36" i="1"/>
  <c r="HE36" i="1" s="1"/>
  <c r="GQ39" i="1"/>
  <c r="HC39" i="1" s="1"/>
  <c r="GQ43" i="1"/>
  <c r="HC43" i="1" s="1"/>
  <c r="GO46" i="1"/>
  <c r="GT47" i="1"/>
  <c r="HF47" i="1" s="1"/>
  <c r="GT30" i="1"/>
  <c r="HF30" i="1" s="1"/>
  <c r="GP32" i="1"/>
  <c r="GR33" i="1"/>
  <c r="HD33" i="1" s="1"/>
  <c r="GT34" i="1"/>
  <c r="GT38" i="1"/>
  <c r="HF38" i="1" s="1"/>
  <c r="GP40" i="1"/>
  <c r="GR41" i="1"/>
  <c r="HD41" i="1" s="1"/>
  <c r="GT42" i="1"/>
  <c r="HF42" i="1" s="1"/>
  <c r="GO44" i="1"/>
  <c r="GT44" i="1"/>
  <c r="HF44" i="1" s="1"/>
  <c r="GT45" i="1"/>
  <c r="HF45" i="1" s="1"/>
  <c r="GS46" i="1"/>
  <c r="HE46" i="1" s="1"/>
  <c r="GR47" i="1"/>
  <c r="HD47" i="1" s="1"/>
  <c r="GR48" i="1"/>
  <c r="HD48" i="1" s="1"/>
  <c r="GQ35" i="1"/>
  <c r="HC35" i="1" s="1"/>
  <c r="GS40" i="1"/>
  <c r="HE40" i="1" s="1"/>
  <c r="GP44" i="1"/>
  <c r="HB44" i="1" s="1"/>
  <c r="GT46" i="1"/>
  <c r="HF46" i="1" s="1"/>
  <c r="A1" i="1"/>
  <c r="VO16" i="1"/>
  <c r="VN16" i="1"/>
  <c r="UT16" i="1"/>
  <c r="US16" i="1"/>
  <c r="TP16" i="1"/>
  <c r="TO16" i="1"/>
  <c r="OC16" i="1"/>
  <c r="OB16" i="1"/>
  <c r="NS16" i="1"/>
  <c r="NR16" i="1"/>
  <c r="NI16" i="1"/>
  <c r="NH16" i="1"/>
  <c r="MY16" i="1"/>
  <c r="MX16" i="1"/>
  <c r="MO16" i="1"/>
  <c r="MN16" i="1"/>
  <c r="LF16" i="1"/>
  <c r="LE16" i="1"/>
  <c r="KV16" i="1"/>
  <c r="KU16" i="1"/>
  <c r="KL16" i="1"/>
  <c r="KK16" i="1"/>
  <c r="JM16" i="1"/>
  <c r="JL16" i="1"/>
  <c r="JC16" i="1"/>
  <c r="JB16" i="1"/>
  <c r="CL16" i="1"/>
  <c r="CK16" i="1"/>
  <c r="CB16" i="1"/>
  <c r="CA16" i="1"/>
  <c r="BR16" i="1"/>
  <c r="BQ16" i="1"/>
  <c r="BH16" i="1"/>
  <c r="BG16" i="1"/>
  <c r="AX16" i="1"/>
  <c r="AW16" i="1"/>
  <c r="AN16" i="1"/>
  <c r="AM16" i="1"/>
  <c r="AD16" i="1"/>
  <c r="AC16" i="1"/>
  <c r="T16" i="1"/>
  <c r="S16" i="1"/>
  <c r="I16" i="1"/>
  <c r="J16" i="1"/>
  <c r="GT36" i="1" l="1"/>
  <c r="GR35" i="1"/>
  <c r="GS35" i="1"/>
  <c r="GR36" i="1"/>
  <c r="GO28" i="1"/>
  <c r="GT33" i="1"/>
  <c r="MN20" i="1"/>
  <c r="GP28" i="1"/>
  <c r="GS32" i="1"/>
  <c r="HA46" i="1"/>
  <c r="IQ46" i="1" s="1"/>
  <c r="HA38" i="1"/>
  <c r="HA43" i="1"/>
  <c r="IQ43" i="1" s="1"/>
  <c r="HA37" i="1"/>
  <c r="HA33" i="1"/>
  <c r="HA29" i="1"/>
  <c r="HA44" i="1"/>
  <c r="IQ44" i="1" s="1"/>
  <c r="HA34" i="1"/>
  <c r="HA48" i="1"/>
  <c r="IQ48" i="1" s="1"/>
  <c r="HA45" i="1"/>
  <c r="IQ45" i="1" s="1"/>
  <c r="HA39" i="1"/>
  <c r="HA36" i="1"/>
  <c r="HA30" i="1"/>
  <c r="HA47" i="1"/>
  <c r="IQ47" i="1" s="1"/>
  <c r="HA42" i="1"/>
  <c r="IB42" i="1" s="1"/>
  <c r="HA24" i="1"/>
  <c r="HA41" i="1"/>
  <c r="IQ41" i="1" s="1"/>
  <c r="GQ36" i="1"/>
  <c r="GP36" i="1"/>
  <c r="GT39" i="1"/>
  <c r="GS38" i="1"/>
  <c r="GT40" i="1"/>
  <c r="GV40" i="1" s="1"/>
  <c r="GO35" i="1"/>
  <c r="GU35" i="1" s="1"/>
  <c r="CP23" i="22" s="1"/>
  <c r="GQ37" i="1"/>
  <c r="IB48" i="1"/>
  <c r="GR38" i="1"/>
  <c r="GV38" i="1" s="1"/>
  <c r="GS39" i="1"/>
  <c r="GR37" i="1"/>
  <c r="GP35" i="1"/>
  <c r="GP30" i="1"/>
  <c r="GP27" i="1"/>
  <c r="GT27" i="1"/>
  <c r="GS27" i="1"/>
  <c r="GS28" i="1"/>
  <c r="GP31" i="1"/>
  <c r="GR28" i="1"/>
  <c r="GO31" i="1"/>
  <c r="GR29" i="1"/>
  <c r="GQ29" i="1"/>
  <c r="GQ30" i="1"/>
  <c r="GP23" i="1"/>
  <c r="GO21" i="1"/>
  <c r="GP19" i="1"/>
  <c r="GO20" i="1"/>
  <c r="GP20" i="1"/>
  <c r="GO19" i="1"/>
  <c r="GQ19" i="1"/>
  <c r="GR19" i="1"/>
  <c r="GQ21" i="1"/>
  <c r="GS19" i="1"/>
  <c r="GS20" i="1"/>
  <c r="GR20" i="1"/>
  <c r="GQ22" i="1"/>
  <c r="GR21" i="1"/>
  <c r="GT19" i="1"/>
  <c r="GO22" i="1"/>
  <c r="GP22" i="1"/>
  <c r="GP21" i="1"/>
  <c r="GQ20" i="1"/>
  <c r="GO27" i="1"/>
  <c r="GQ27" i="1"/>
  <c r="HC27" i="1" s="1"/>
  <c r="GV44" i="1"/>
  <c r="GV42" i="1"/>
  <c r="GV45" i="1"/>
  <c r="GV46" i="1"/>
  <c r="GV32" i="1"/>
  <c r="GV48" i="1"/>
  <c r="GV47" i="1"/>
  <c r="GV34" i="1"/>
  <c r="GV41" i="1"/>
  <c r="GV33" i="1"/>
  <c r="GV43" i="1"/>
  <c r="GU44" i="1"/>
  <c r="CP32" i="22" s="1"/>
  <c r="GU42" i="1"/>
  <c r="CP30" i="22" s="1"/>
  <c r="GU45" i="1"/>
  <c r="CP33" i="22" s="1"/>
  <c r="GU46" i="1"/>
  <c r="CP34" i="22" s="1"/>
  <c r="GU32" i="1"/>
  <c r="CP20" i="22" s="1"/>
  <c r="GU48" i="1"/>
  <c r="CP36" i="22" s="1"/>
  <c r="GU47" i="1"/>
  <c r="CP35" i="22" s="1"/>
  <c r="GU34" i="1"/>
  <c r="CP22" i="22" s="1"/>
  <c r="GU41" i="1"/>
  <c r="CP29" i="22" s="1"/>
  <c r="GU33" i="1"/>
  <c r="CP21" i="22" s="1"/>
  <c r="GU43" i="1"/>
  <c r="CP31" i="22" s="1"/>
  <c r="GS21" i="1"/>
  <c r="GT21" i="1"/>
  <c r="GQ23" i="1"/>
  <c r="GP24" i="1"/>
  <c r="GT24" i="1"/>
  <c r="HF24" i="1" s="1"/>
  <c r="GR25" i="1"/>
  <c r="HD25" i="1" s="1"/>
  <c r="GP26" i="1"/>
  <c r="HB26" i="1" s="1"/>
  <c r="GR23" i="1"/>
  <c r="HD23" i="1" s="1"/>
  <c r="GQ24" i="1"/>
  <c r="HC24" i="1" s="1"/>
  <c r="GO25" i="1"/>
  <c r="GS25" i="1"/>
  <c r="GR22" i="1"/>
  <c r="GT20" i="1"/>
  <c r="GS22" i="1"/>
  <c r="GS23" i="1"/>
  <c r="HE23" i="1" s="1"/>
  <c r="GR24" i="1"/>
  <c r="GP25" i="1"/>
  <c r="HB25" i="1" s="1"/>
  <c r="GT25" i="1"/>
  <c r="GT22" i="1"/>
  <c r="GT23" i="1"/>
  <c r="GS24" i="1"/>
  <c r="HE24" i="1" s="1"/>
  <c r="GQ25" i="1"/>
  <c r="HC25" i="1" s="1"/>
  <c r="GO26" i="1"/>
  <c r="GT26" i="1"/>
  <c r="NH30" i="1"/>
  <c r="US42" i="1"/>
  <c r="TO40" i="1"/>
  <c r="MN30" i="1"/>
  <c r="OB34" i="1"/>
  <c r="TO48" i="1"/>
  <c r="JL21" i="1"/>
  <c r="KU30" i="1"/>
  <c r="MN34" i="1"/>
  <c r="NH22" i="1"/>
  <c r="NH34" i="1"/>
  <c r="VN22" i="1"/>
  <c r="MN26" i="1"/>
  <c r="KK21" i="1"/>
  <c r="KU48" i="1"/>
  <c r="MX22" i="1"/>
  <c r="NH46" i="1"/>
  <c r="NH24" i="1"/>
  <c r="MN42" i="1"/>
  <c r="NH40" i="1"/>
  <c r="TO20" i="1"/>
  <c r="TO24" i="1"/>
  <c r="US34" i="1"/>
  <c r="JL40" i="1"/>
  <c r="KU40" i="1"/>
  <c r="MX48" i="1"/>
  <c r="OB46" i="1"/>
  <c r="OB30" i="1"/>
  <c r="JL36" i="1"/>
  <c r="JL20" i="1"/>
  <c r="KK44" i="1"/>
  <c r="KK28" i="1"/>
  <c r="KU34" i="1"/>
  <c r="MN38" i="1"/>
  <c r="MN22" i="1"/>
  <c r="MX40" i="1"/>
  <c r="NH48" i="1"/>
  <c r="NH38" i="1"/>
  <c r="NH26" i="1"/>
  <c r="OB42" i="1"/>
  <c r="OB26" i="1"/>
  <c r="US26" i="1"/>
  <c r="JL48" i="1"/>
  <c r="JL32" i="1"/>
  <c r="OB38" i="1"/>
  <c r="OB22" i="1"/>
  <c r="KK40" i="1"/>
  <c r="KK24" i="1"/>
  <c r="KU26" i="1"/>
  <c r="MX32" i="1"/>
  <c r="JL44" i="1"/>
  <c r="JL28" i="1"/>
  <c r="KK36" i="1"/>
  <c r="KK20" i="1"/>
  <c r="KU44" i="1"/>
  <c r="MN46" i="1"/>
  <c r="NH42" i="1"/>
  <c r="NH32" i="1"/>
  <c r="TO32" i="1"/>
  <c r="JL24" i="1"/>
  <c r="KK48" i="1"/>
  <c r="KK32" i="1"/>
  <c r="LE19" i="1"/>
  <c r="LE23" i="1"/>
  <c r="LE27" i="1"/>
  <c r="LE31" i="1"/>
  <c r="LE35" i="1"/>
  <c r="LE39" i="1"/>
  <c r="LE43" i="1"/>
  <c r="LE47" i="1"/>
  <c r="LE21" i="1"/>
  <c r="LE25" i="1"/>
  <c r="LE29" i="1"/>
  <c r="LE33" i="1"/>
  <c r="LE37" i="1"/>
  <c r="LE41" i="1"/>
  <c r="LE45" i="1"/>
  <c r="LE36" i="1"/>
  <c r="MX24" i="1"/>
  <c r="NR19" i="1"/>
  <c r="NR23" i="1"/>
  <c r="NR27" i="1"/>
  <c r="NR31" i="1"/>
  <c r="NR35" i="1"/>
  <c r="NR39" i="1"/>
  <c r="NR43" i="1"/>
  <c r="NR47" i="1"/>
  <c r="NR21" i="1"/>
  <c r="NR25" i="1"/>
  <c r="NR29" i="1"/>
  <c r="NR33" i="1"/>
  <c r="NR37" i="1"/>
  <c r="NR41" i="1"/>
  <c r="NR45" i="1"/>
  <c r="NR36" i="1"/>
  <c r="NR28" i="1"/>
  <c r="NR20" i="1"/>
  <c r="JL47" i="1"/>
  <c r="JL43" i="1"/>
  <c r="JL39" i="1"/>
  <c r="JL35" i="1"/>
  <c r="JL31" i="1"/>
  <c r="JL27" i="1"/>
  <c r="JL23" i="1"/>
  <c r="JL19" i="1"/>
  <c r="KK47" i="1"/>
  <c r="KK43" i="1"/>
  <c r="KK39" i="1"/>
  <c r="KK35" i="1"/>
  <c r="KK31" i="1"/>
  <c r="KK27" i="1"/>
  <c r="KK23" i="1"/>
  <c r="KK19" i="1"/>
  <c r="KU47" i="1"/>
  <c r="KU43" i="1"/>
  <c r="KU39" i="1"/>
  <c r="KU32" i="1"/>
  <c r="KU24" i="1"/>
  <c r="LE42" i="1"/>
  <c r="LE34" i="1"/>
  <c r="LE26" i="1"/>
  <c r="MN19" i="1"/>
  <c r="MN23" i="1"/>
  <c r="MN27" i="1"/>
  <c r="MN31" i="1"/>
  <c r="MN35" i="1"/>
  <c r="MN39" i="1"/>
  <c r="MN43" i="1"/>
  <c r="MN47" i="1"/>
  <c r="MN21" i="1"/>
  <c r="MN25" i="1"/>
  <c r="MN29" i="1"/>
  <c r="MN33" i="1"/>
  <c r="MN37" i="1"/>
  <c r="MN41" i="1"/>
  <c r="MN45" i="1"/>
  <c r="MN44" i="1"/>
  <c r="MN36" i="1"/>
  <c r="MN28" i="1"/>
  <c r="MX46" i="1"/>
  <c r="MX38" i="1"/>
  <c r="MX30" i="1"/>
  <c r="NR42" i="1"/>
  <c r="NR34" i="1"/>
  <c r="NR26" i="1"/>
  <c r="OB19" i="1"/>
  <c r="OB23" i="1"/>
  <c r="OB27" i="1"/>
  <c r="OB31" i="1"/>
  <c r="OB35" i="1"/>
  <c r="OB39" i="1"/>
  <c r="OB43" i="1"/>
  <c r="OB47" i="1"/>
  <c r="OB21" i="1"/>
  <c r="OB25" i="1"/>
  <c r="OB29" i="1"/>
  <c r="OB33" i="1"/>
  <c r="OB37" i="1"/>
  <c r="OB41" i="1"/>
  <c r="OB45" i="1"/>
  <c r="OB44" i="1"/>
  <c r="OB36" i="1"/>
  <c r="OB28" i="1"/>
  <c r="OB20" i="1"/>
  <c r="TO46" i="1"/>
  <c r="TO38" i="1"/>
  <c r="TO30" i="1"/>
  <c r="TO22" i="1"/>
  <c r="US19" i="1"/>
  <c r="US23" i="1"/>
  <c r="US27" i="1"/>
  <c r="US31" i="1"/>
  <c r="US35" i="1"/>
  <c r="US39" i="1"/>
  <c r="US43" i="1"/>
  <c r="US47" i="1"/>
  <c r="US20" i="1"/>
  <c r="US24" i="1"/>
  <c r="US28" i="1"/>
  <c r="US32" i="1"/>
  <c r="US36" i="1"/>
  <c r="US40" i="1"/>
  <c r="US44" i="1"/>
  <c r="US48" i="1"/>
  <c r="US21" i="1"/>
  <c r="US25" i="1"/>
  <c r="US29" i="1"/>
  <c r="US33" i="1"/>
  <c r="US37" i="1"/>
  <c r="US41" i="1"/>
  <c r="US45" i="1"/>
  <c r="US38" i="1"/>
  <c r="US22" i="1"/>
  <c r="JL42" i="1"/>
  <c r="KK42" i="1"/>
  <c r="KK34" i="1"/>
  <c r="KK26" i="1"/>
  <c r="KK22" i="1"/>
  <c r="KU46" i="1"/>
  <c r="LE48" i="1"/>
  <c r="LE32" i="1"/>
  <c r="MX19" i="1"/>
  <c r="MX23" i="1"/>
  <c r="MX27" i="1"/>
  <c r="MX31" i="1"/>
  <c r="MX35" i="1"/>
  <c r="MX39" i="1"/>
  <c r="MX43" i="1"/>
  <c r="MX47" i="1"/>
  <c r="MX21" i="1"/>
  <c r="MX25" i="1"/>
  <c r="MX29" i="1"/>
  <c r="MX33" i="1"/>
  <c r="MX37" i="1"/>
  <c r="MX41" i="1"/>
  <c r="MX45" i="1"/>
  <c r="NR48" i="1"/>
  <c r="TO44" i="1"/>
  <c r="JL46" i="1"/>
  <c r="JL38" i="1"/>
  <c r="JL34" i="1"/>
  <c r="JL30" i="1"/>
  <c r="JL26" i="1"/>
  <c r="JL22" i="1"/>
  <c r="KK46" i="1"/>
  <c r="KK38" i="1"/>
  <c r="KK30" i="1"/>
  <c r="KU19" i="1"/>
  <c r="KU23" i="1"/>
  <c r="KU27" i="1"/>
  <c r="KU31" i="1"/>
  <c r="KU35" i="1"/>
  <c r="KU21" i="1"/>
  <c r="KU25" i="1"/>
  <c r="KU29" i="1"/>
  <c r="KU33" i="1"/>
  <c r="KU37" i="1"/>
  <c r="KU42" i="1"/>
  <c r="KU38" i="1"/>
  <c r="KU22" i="1"/>
  <c r="LE40" i="1"/>
  <c r="LE24" i="1"/>
  <c r="MX44" i="1"/>
  <c r="MX36" i="1"/>
  <c r="MX28" i="1"/>
  <c r="MX20" i="1"/>
  <c r="NR40" i="1"/>
  <c r="NR32" i="1"/>
  <c r="NR24" i="1"/>
  <c r="TO19" i="1"/>
  <c r="TO23" i="1"/>
  <c r="TO27" i="1"/>
  <c r="TO31" i="1"/>
  <c r="TO35" i="1"/>
  <c r="TO39" i="1"/>
  <c r="TO43" i="1"/>
  <c r="TO47" i="1"/>
  <c r="TO21" i="1"/>
  <c r="TO25" i="1"/>
  <c r="TO29" i="1"/>
  <c r="TO33" i="1"/>
  <c r="TO37" i="1"/>
  <c r="TO41" i="1"/>
  <c r="TO45" i="1"/>
  <c r="TO36" i="1"/>
  <c r="TO28" i="1"/>
  <c r="JL45" i="1"/>
  <c r="JL41" i="1"/>
  <c r="JL37" i="1"/>
  <c r="JL33" i="1"/>
  <c r="JL29" i="1"/>
  <c r="JL25" i="1"/>
  <c r="KK45" i="1"/>
  <c r="KK41" i="1"/>
  <c r="KK37" i="1"/>
  <c r="KK33" i="1"/>
  <c r="KK29" i="1"/>
  <c r="KK25" i="1"/>
  <c r="KU45" i="1"/>
  <c r="KU41" i="1"/>
  <c r="KU36" i="1"/>
  <c r="KU28" i="1"/>
  <c r="KU20" i="1"/>
  <c r="LE46" i="1"/>
  <c r="LE38" i="1"/>
  <c r="LE30" i="1"/>
  <c r="LE22" i="1"/>
  <c r="MN48" i="1"/>
  <c r="MN40" i="1"/>
  <c r="MN32" i="1"/>
  <c r="MN24" i="1"/>
  <c r="MX42" i="1"/>
  <c r="MX34" i="1"/>
  <c r="MX26" i="1"/>
  <c r="NH19" i="1"/>
  <c r="NH23" i="1"/>
  <c r="NH27" i="1"/>
  <c r="NH31" i="1"/>
  <c r="NH35" i="1"/>
  <c r="NH39" i="1"/>
  <c r="NH43" i="1"/>
  <c r="NH47" i="1"/>
  <c r="NH21" i="1"/>
  <c r="NH25" i="1"/>
  <c r="NH29" i="1"/>
  <c r="NH33" i="1"/>
  <c r="NH37" i="1"/>
  <c r="NH41" i="1"/>
  <c r="NH45" i="1"/>
  <c r="NH44" i="1"/>
  <c r="NH36" i="1"/>
  <c r="NH28" i="1"/>
  <c r="NH20" i="1"/>
  <c r="NR46" i="1"/>
  <c r="NR38" i="1"/>
  <c r="NR30" i="1"/>
  <c r="NR22" i="1"/>
  <c r="OB48" i="1"/>
  <c r="OB40" i="1"/>
  <c r="OB32" i="1"/>
  <c r="OB24" i="1"/>
  <c r="TO42" i="1"/>
  <c r="TO34" i="1"/>
  <c r="TO26" i="1"/>
  <c r="US46" i="1"/>
  <c r="US30" i="1"/>
  <c r="LE44" i="1"/>
  <c r="LE28" i="1"/>
  <c r="LE20" i="1"/>
  <c r="NR44" i="1"/>
  <c r="VN45" i="1"/>
  <c r="VN41" i="1"/>
  <c r="VN37" i="1"/>
  <c r="VN33" i="1"/>
  <c r="VN29" i="1"/>
  <c r="VN25" i="1"/>
  <c r="VN21" i="1"/>
  <c r="VN48" i="1"/>
  <c r="VN44" i="1"/>
  <c r="VN40" i="1"/>
  <c r="VN36" i="1"/>
  <c r="VN32" i="1"/>
  <c r="VN28" i="1"/>
  <c r="VN24" i="1"/>
  <c r="VN20" i="1"/>
  <c r="VN47" i="1"/>
  <c r="VN43" i="1"/>
  <c r="VN39" i="1"/>
  <c r="VN35" i="1"/>
  <c r="VN31" i="1"/>
  <c r="VN27" i="1"/>
  <c r="VN23" i="1"/>
  <c r="VN19" i="1"/>
  <c r="VN46" i="1"/>
  <c r="VN42" i="1"/>
  <c r="VN38" i="1"/>
  <c r="VN34" i="1"/>
  <c r="VN30" i="1"/>
  <c r="VN26" i="1"/>
  <c r="BQ42" i="1"/>
  <c r="CA21" i="1"/>
  <c r="BQ19" i="1"/>
  <c r="CK21" i="1"/>
  <c r="BQ34" i="1"/>
  <c r="BQ26" i="1"/>
  <c r="S26" i="1"/>
  <c r="AM22" i="1"/>
  <c r="BG20" i="1"/>
  <c r="BQ38" i="1"/>
  <c r="BQ22" i="1"/>
  <c r="AC22" i="1"/>
  <c r="AW22" i="1"/>
  <c r="BQ46" i="1"/>
  <c r="BQ30" i="1"/>
  <c r="BG47" i="1"/>
  <c r="BG43" i="1"/>
  <c r="BG39" i="1"/>
  <c r="BG35" i="1"/>
  <c r="BG31" i="1"/>
  <c r="BG27" i="1"/>
  <c r="BG23" i="1"/>
  <c r="BG19" i="1"/>
  <c r="CA48" i="1"/>
  <c r="CA44" i="1"/>
  <c r="CA40" i="1"/>
  <c r="CA36" i="1"/>
  <c r="CA32" i="1"/>
  <c r="CA28" i="1"/>
  <c r="CA24" i="1"/>
  <c r="CA20" i="1"/>
  <c r="CK48" i="1"/>
  <c r="CK44" i="1"/>
  <c r="CK40" i="1"/>
  <c r="CK36" i="1"/>
  <c r="CK32" i="1"/>
  <c r="CK28" i="1"/>
  <c r="CK24" i="1"/>
  <c r="CK20" i="1"/>
  <c r="BG46" i="1"/>
  <c r="BG42" i="1"/>
  <c r="BG38" i="1"/>
  <c r="BG34" i="1"/>
  <c r="BG30" i="1"/>
  <c r="BG26" i="1"/>
  <c r="BG22" i="1"/>
  <c r="CA47" i="1"/>
  <c r="CA43" i="1"/>
  <c r="CA39" i="1"/>
  <c r="CA35" i="1"/>
  <c r="CA31" i="1"/>
  <c r="CA27" i="1"/>
  <c r="CA23" i="1"/>
  <c r="CA19" i="1"/>
  <c r="CK47" i="1"/>
  <c r="CK43" i="1"/>
  <c r="CK39" i="1"/>
  <c r="CK35" i="1"/>
  <c r="CK31" i="1"/>
  <c r="CK27" i="1"/>
  <c r="CK23" i="1"/>
  <c r="CK19" i="1"/>
  <c r="BG45" i="1"/>
  <c r="BG41" i="1"/>
  <c r="BG37" i="1"/>
  <c r="BG33" i="1"/>
  <c r="BG29" i="1"/>
  <c r="BG25" i="1"/>
  <c r="BG21" i="1"/>
  <c r="CA46" i="1"/>
  <c r="CA42" i="1"/>
  <c r="CA38" i="1"/>
  <c r="CA34" i="1"/>
  <c r="CA30" i="1"/>
  <c r="CA26" i="1"/>
  <c r="CA22" i="1"/>
  <c r="CK46" i="1"/>
  <c r="CK42" i="1"/>
  <c r="CK38" i="1"/>
  <c r="CK34" i="1"/>
  <c r="CK30" i="1"/>
  <c r="CK26" i="1"/>
  <c r="CK22" i="1"/>
  <c r="BG48" i="1"/>
  <c r="BG44" i="1"/>
  <c r="BG40" i="1"/>
  <c r="BG36" i="1"/>
  <c r="BG32" i="1"/>
  <c r="BG28" i="1"/>
  <c r="BG24" i="1"/>
  <c r="CA45" i="1"/>
  <c r="CA41" i="1"/>
  <c r="CA37" i="1"/>
  <c r="CA33" i="1"/>
  <c r="CA29" i="1"/>
  <c r="CA25" i="1"/>
  <c r="CK45" i="1"/>
  <c r="CK41" i="1"/>
  <c r="CK37" i="1"/>
  <c r="CK33" i="1"/>
  <c r="CK29" i="1"/>
  <c r="CK25" i="1"/>
  <c r="BQ48" i="1"/>
  <c r="BQ44" i="1"/>
  <c r="BQ40" i="1"/>
  <c r="BQ36" i="1"/>
  <c r="BQ32" i="1"/>
  <c r="BQ28" i="1"/>
  <c r="BQ24" i="1"/>
  <c r="BQ20" i="1"/>
  <c r="BQ45" i="1"/>
  <c r="BQ41" i="1"/>
  <c r="BQ37" i="1"/>
  <c r="BQ33" i="1"/>
  <c r="BQ29" i="1"/>
  <c r="BQ25" i="1"/>
  <c r="BQ21" i="1"/>
  <c r="BQ47" i="1"/>
  <c r="BQ43" i="1"/>
  <c r="BQ39" i="1"/>
  <c r="BQ35" i="1"/>
  <c r="BQ31" i="1"/>
  <c r="BQ27" i="1"/>
  <c r="BQ23" i="1"/>
  <c r="S42" i="1"/>
  <c r="S34" i="1"/>
  <c r="S22" i="1"/>
  <c r="AC42" i="1"/>
  <c r="AC34" i="1"/>
  <c r="AC26" i="1"/>
  <c r="AM46" i="1"/>
  <c r="AM34" i="1"/>
  <c r="S45" i="1"/>
  <c r="S37" i="1"/>
  <c r="AC41" i="1"/>
  <c r="AC33" i="1"/>
  <c r="AC29" i="1"/>
  <c r="AC25" i="1"/>
  <c r="AC21" i="1"/>
  <c r="AM45" i="1"/>
  <c r="AM41" i="1"/>
  <c r="AM37" i="1"/>
  <c r="AM33" i="1"/>
  <c r="AM29" i="1"/>
  <c r="AM25" i="1"/>
  <c r="AM21" i="1"/>
  <c r="AW45" i="1"/>
  <c r="AW41" i="1"/>
  <c r="AW37" i="1"/>
  <c r="AW33" i="1"/>
  <c r="AW29" i="1"/>
  <c r="AW25" i="1"/>
  <c r="AW21" i="1"/>
  <c r="S46" i="1"/>
  <c r="S30" i="1"/>
  <c r="S44" i="1"/>
  <c r="S36" i="1"/>
  <c r="S24" i="1"/>
  <c r="AC48" i="1"/>
  <c r="AC40" i="1"/>
  <c r="AC36" i="1"/>
  <c r="AC28" i="1"/>
  <c r="AC24" i="1"/>
  <c r="AC20" i="1"/>
  <c r="AM48" i="1"/>
  <c r="AM44" i="1"/>
  <c r="AM40" i="1"/>
  <c r="AM36" i="1"/>
  <c r="AM32" i="1"/>
  <c r="AM28" i="1"/>
  <c r="AM24" i="1"/>
  <c r="AM20" i="1"/>
  <c r="AW48" i="1"/>
  <c r="AW44" i="1"/>
  <c r="AW40" i="1"/>
  <c r="AW36" i="1"/>
  <c r="AW32" i="1"/>
  <c r="AW28" i="1"/>
  <c r="AW24" i="1"/>
  <c r="AW20" i="1"/>
  <c r="AC38" i="1"/>
  <c r="S41" i="1"/>
  <c r="S33" i="1"/>
  <c r="S29" i="1"/>
  <c r="S25" i="1"/>
  <c r="S21" i="1"/>
  <c r="AC45" i="1"/>
  <c r="AC37" i="1"/>
  <c r="S48" i="1"/>
  <c r="S40" i="1"/>
  <c r="S32" i="1"/>
  <c r="S28" i="1"/>
  <c r="S20" i="1"/>
  <c r="AC44" i="1"/>
  <c r="AC32" i="1"/>
  <c r="I21" i="1"/>
  <c r="S47" i="1"/>
  <c r="S43" i="1"/>
  <c r="S39" i="1"/>
  <c r="S35" i="1"/>
  <c r="S31" i="1"/>
  <c r="S27" i="1"/>
  <c r="S23" i="1"/>
  <c r="S19" i="1"/>
  <c r="AC47" i="1"/>
  <c r="AC43" i="1"/>
  <c r="AC39" i="1"/>
  <c r="AC35" i="1"/>
  <c r="AC31" i="1"/>
  <c r="AC27" i="1"/>
  <c r="AC23" i="1"/>
  <c r="AC19" i="1"/>
  <c r="AM47" i="1"/>
  <c r="AM43" i="1"/>
  <c r="AM39" i="1"/>
  <c r="AM35" i="1"/>
  <c r="AM31" i="1"/>
  <c r="AM27" i="1"/>
  <c r="AM23" i="1"/>
  <c r="AM19" i="1"/>
  <c r="AW47" i="1"/>
  <c r="AW43" i="1"/>
  <c r="AW39" i="1"/>
  <c r="AW35" i="1"/>
  <c r="AW31" i="1"/>
  <c r="AW27" i="1"/>
  <c r="AW23" i="1"/>
  <c r="AW19" i="1"/>
  <c r="S38" i="1"/>
  <c r="AC46" i="1"/>
  <c r="AC30" i="1"/>
  <c r="AM42" i="1"/>
  <c r="AM38" i="1"/>
  <c r="AM30" i="1"/>
  <c r="AM26" i="1"/>
  <c r="AW46" i="1"/>
  <c r="AW42" i="1"/>
  <c r="AW38" i="1"/>
  <c r="AW34" i="1"/>
  <c r="AW30" i="1"/>
  <c r="AW26" i="1"/>
  <c r="I40" i="1"/>
  <c r="I24" i="1"/>
  <c r="I39" i="1"/>
  <c r="I19" i="1"/>
  <c r="I44" i="1"/>
  <c r="I32" i="1"/>
  <c r="I20" i="1"/>
  <c r="I47" i="1"/>
  <c r="I35" i="1"/>
  <c r="I23" i="1"/>
  <c r="I46" i="1"/>
  <c r="I42" i="1"/>
  <c r="I38" i="1"/>
  <c r="I34" i="1"/>
  <c r="I30" i="1"/>
  <c r="I26" i="1"/>
  <c r="I22" i="1"/>
  <c r="I48" i="1"/>
  <c r="I36" i="1"/>
  <c r="I28" i="1"/>
  <c r="I43" i="1"/>
  <c r="I31" i="1"/>
  <c r="I27" i="1"/>
  <c r="I45" i="1"/>
  <c r="I41" i="1"/>
  <c r="I37" i="1"/>
  <c r="I33" i="1"/>
  <c r="I29" i="1"/>
  <c r="I25" i="1"/>
  <c r="AZ27" i="22"/>
  <c r="AZ36" i="22"/>
  <c r="AZ22" i="22"/>
  <c r="AZ13" i="22"/>
  <c r="AZ30" i="22"/>
  <c r="AZ15" i="22"/>
  <c r="AZ28" i="22"/>
  <c r="AZ7" i="22"/>
  <c r="AZ25" i="22"/>
  <c r="AZ29" i="22"/>
  <c r="AZ21" i="22"/>
  <c r="AZ8" i="22"/>
  <c r="AZ32" i="22"/>
  <c r="AZ24" i="22"/>
  <c r="AZ9" i="22"/>
  <c r="AZ11" i="22"/>
  <c r="AZ19" i="22"/>
  <c r="AZ26" i="22"/>
  <c r="AZ34" i="22"/>
  <c r="AZ31" i="22"/>
  <c r="AZ14" i="22"/>
  <c r="AZ33" i="22"/>
  <c r="AZ18" i="22"/>
  <c r="AZ12" i="22"/>
  <c r="AZ23" i="22"/>
  <c r="AZ16" i="22"/>
  <c r="AZ35" i="22"/>
  <c r="AZ20" i="22"/>
  <c r="AZ17" i="22"/>
  <c r="AZ10" i="22"/>
  <c r="HG44" i="1" l="1"/>
  <c r="GV30" i="1"/>
  <c r="BB27" i="22"/>
  <c r="BB30" i="22"/>
  <c r="BE30" i="22" s="1"/>
  <c r="BC30" i="22" s="1"/>
  <c r="BB28" i="22"/>
  <c r="BB21" i="22"/>
  <c r="BE21" i="22" s="1"/>
  <c r="BC21" i="22" s="1"/>
  <c r="BB33" i="22"/>
  <c r="BB22" i="22"/>
  <c r="BE22" i="22" s="1"/>
  <c r="BC22" i="22" s="1"/>
  <c r="BB11" i="22"/>
  <c r="BB36" i="22"/>
  <c r="BE36" i="22" s="1"/>
  <c r="BC36" i="22" s="1"/>
  <c r="BB18" i="22"/>
  <c r="BB29" i="22"/>
  <c r="BE29" i="22" s="1"/>
  <c r="BC29" i="22" s="1"/>
  <c r="BB19" i="22"/>
  <c r="BE19" i="22" s="1"/>
  <c r="BC19" i="22" s="1"/>
  <c r="BB34" i="22"/>
  <c r="BE34" i="22" s="1"/>
  <c r="BC34" i="22" s="1"/>
  <c r="BB31" i="22"/>
  <c r="BB32" i="22"/>
  <c r="BE32" i="22" s="1"/>
  <c r="BC32" i="22" s="1"/>
  <c r="BB16" i="22"/>
  <c r="BE16" i="22" s="1"/>
  <c r="BC16" i="22" s="1"/>
  <c r="BB24" i="22"/>
  <c r="BE24" i="22" s="1"/>
  <c r="BC24" i="22" s="1"/>
  <c r="BB25" i="22"/>
  <c r="BE25" i="22" s="1"/>
  <c r="BC25" i="22" s="1"/>
  <c r="BB12" i="22"/>
  <c r="BE12" i="22" s="1"/>
  <c r="BC12" i="22" s="1"/>
  <c r="BB26" i="22"/>
  <c r="BB35" i="22"/>
  <c r="BE35" i="22" s="1"/>
  <c r="BC35" i="22" s="1"/>
  <c r="BB20" i="22"/>
  <c r="BB17" i="22"/>
  <c r="BE17" i="22" s="1"/>
  <c r="BC17" i="22" s="1"/>
  <c r="BB14" i="22"/>
  <c r="BB13" i="22"/>
  <c r="BB23" i="22"/>
  <c r="BB15" i="22"/>
  <c r="BE15" i="22" s="1"/>
  <c r="BC15" i="22" s="1"/>
  <c r="HG47" i="1"/>
  <c r="GV39" i="1"/>
  <c r="GV36" i="1"/>
  <c r="GU38" i="1"/>
  <c r="CP26" i="22" s="1"/>
  <c r="GU28" i="1"/>
  <c r="CP16" i="22" s="1"/>
  <c r="HG42" i="1"/>
  <c r="GU30" i="1"/>
  <c r="CP18" i="22" s="1"/>
  <c r="GU36" i="1"/>
  <c r="CP24" i="22" s="1"/>
  <c r="GV28" i="1"/>
  <c r="HH28" i="1" s="1"/>
  <c r="GV35" i="1"/>
  <c r="GU39" i="1"/>
  <c r="CP27" i="22" s="1"/>
  <c r="HG48" i="1"/>
  <c r="HG45" i="1"/>
  <c r="IB47" i="1"/>
  <c r="IB45" i="1"/>
  <c r="GV37" i="1"/>
  <c r="IQ42" i="1"/>
  <c r="HG46" i="1"/>
  <c r="HG43" i="1"/>
  <c r="IB46" i="1"/>
  <c r="IB43" i="1"/>
  <c r="IB44" i="1"/>
  <c r="HH41" i="1"/>
  <c r="HH47" i="1"/>
  <c r="HH46" i="1"/>
  <c r="HH44" i="1"/>
  <c r="HH43" i="1"/>
  <c r="HH34" i="1"/>
  <c r="HH48" i="1"/>
  <c r="HH45" i="1"/>
  <c r="HH38" i="1"/>
  <c r="HH42" i="1"/>
  <c r="HH33" i="1"/>
  <c r="HH32" i="1"/>
  <c r="GV29" i="1"/>
  <c r="HG41" i="1"/>
  <c r="IB41" i="1"/>
  <c r="HA26" i="1"/>
  <c r="BD16" i="22"/>
  <c r="BD13" i="22"/>
  <c r="BD27" i="22"/>
  <c r="BD19" i="22"/>
  <c r="BD21" i="22"/>
  <c r="BD15" i="22"/>
  <c r="BD20" i="22"/>
  <c r="BD33" i="22"/>
  <c r="BD26" i="22"/>
  <c r="BD30" i="22"/>
  <c r="BD25" i="22"/>
  <c r="BD10" i="22"/>
  <c r="BD35" i="22"/>
  <c r="BD22" i="22"/>
  <c r="BD34" i="22"/>
  <c r="BD24" i="22"/>
  <c r="BD28" i="22"/>
  <c r="BD36" i="22"/>
  <c r="BD17" i="22"/>
  <c r="BD18" i="22"/>
  <c r="BD29" i="22"/>
  <c r="BD14" i="22"/>
  <c r="BD32" i="22"/>
  <c r="BD31" i="22"/>
  <c r="BD23" i="22"/>
  <c r="BA18" i="22"/>
  <c r="BA15" i="22"/>
  <c r="BA35" i="22"/>
  <c r="BA16" i="22"/>
  <c r="BA20" i="22"/>
  <c r="BA22" i="22"/>
  <c r="BA29" i="22"/>
  <c r="BA13" i="22"/>
  <c r="BA34" i="22"/>
  <c r="BA14" i="22"/>
  <c r="BA27" i="22"/>
  <c r="BA33" i="22"/>
  <c r="BA24" i="22"/>
  <c r="BA32" i="22"/>
  <c r="BA19" i="22"/>
  <c r="BA26" i="22"/>
  <c r="BA28" i="22"/>
  <c r="BA31" i="22"/>
  <c r="BA21" i="22"/>
  <c r="BA30" i="22"/>
  <c r="BA36" i="22"/>
  <c r="BA23" i="22"/>
  <c r="BA25" i="22"/>
  <c r="BA17" i="22"/>
  <c r="GU29" i="1"/>
  <c r="CP17" i="22" s="1"/>
  <c r="GV31" i="1"/>
  <c r="GU40" i="1"/>
  <c r="CP28" i="22" s="1"/>
  <c r="GU37" i="1"/>
  <c r="CP25" i="22" s="1"/>
  <c r="GU31" i="1"/>
  <c r="CP19" i="22" s="1"/>
  <c r="GV27" i="1"/>
  <c r="GU27" i="1"/>
  <c r="CP15" i="22" s="1"/>
  <c r="GU19" i="1"/>
  <c r="CP7" i="22" s="1"/>
  <c r="GV19" i="1"/>
  <c r="GU21" i="1"/>
  <c r="CP9" i="22" s="1"/>
  <c r="GU22" i="1"/>
  <c r="CP10" i="22" s="1"/>
  <c r="GV22" i="1"/>
  <c r="GV24" i="1"/>
  <c r="GV23" i="1"/>
  <c r="GU26" i="1"/>
  <c r="CP14" i="22" s="1"/>
  <c r="GV26" i="1"/>
  <c r="GV20" i="1"/>
  <c r="GV25" i="1"/>
  <c r="GU23" i="1"/>
  <c r="CP11" i="22" s="1"/>
  <c r="GU24" i="1"/>
  <c r="CP12" i="22" s="1"/>
  <c r="GV21" i="1"/>
  <c r="GU25" i="1"/>
  <c r="CP13" i="22" s="1"/>
  <c r="GU20" i="1"/>
  <c r="CP8" i="22" s="1"/>
  <c r="OD18" i="1"/>
  <c r="BA12" i="22"/>
  <c r="BA11" i="22"/>
  <c r="BA7" i="22"/>
  <c r="BB7" i="22" l="1"/>
  <c r="HH39" i="1"/>
  <c r="II39" i="1" s="1"/>
  <c r="HH36" i="1"/>
  <c r="BE28" i="22"/>
  <c r="BC28" i="22" s="1"/>
  <c r="BE26" i="22"/>
  <c r="BC26" i="22" s="1"/>
  <c r="BE23" i="22"/>
  <c r="BC23" i="22" s="1"/>
  <c r="BE20" i="22"/>
  <c r="BC20" i="22" s="1"/>
  <c r="BE31" i="22"/>
  <c r="BC31" i="22" s="1"/>
  <c r="BE18" i="22"/>
  <c r="BC18" i="22" s="1"/>
  <c r="BE33" i="22"/>
  <c r="BC33" i="22" s="1"/>
  <c r="BE27" i="22"/>
  <c r="BC27" i="22" s="1"/>
  <c r="HH35" i="1"/>
  <c r="HH30" i="1"/>
  <c r="HT39" i="1"/>
  <c r="HU39" i="1" s="1"/>
  <c r="II47" i="1"/>
  <c r="HT47" i="1"/>
  <c r="HU47" i="1" s="1"/>
  <c r="II43" i="1"/>
  <c r="HT43" i="1"/>
  <c r="HU43" i="1" s="1"/>
  <c r="II41" i="1"/>
  <c r="HT41" i="1"/>
  <c r="HU41" i="1" s="1"/>
  <c r="II42" i="1"/>
  <c r="HT42" i="1"/>
  <c r="HU42" i="1" s="1"/>
  <c r="II45" i="1"/>
  <c r="HT45" i="1"/>
  <c r="HU45" i="1" s="1"/>
  <c r="HT44" i="1"/>
  <c r="II44" i="1"/>
  <c r="II38" i="1"/>
  <c r="HT38" i="1"/>
  <c r="HU38" i="1" s="1"/>
  <c r="HT48" i="1"/>
  <c r="HU48" i="1" s="1"/>
  <c r="II48" i="1"/>
  <c r="II46" i="1"/>
  <c r="HT46" i="1"/>
  <c r="HU46" i="1" s="1"/>
  <c r="HH24" i="1"/>
  <c r="HH37" i="1"/>
  <c r="HH20" i="1"/>
  <c r="HH26" i="1"/>
  <c r="HH22" i="1"/>
  <c r="HH27" i="1"/>
  <c r="HH40" i="1"/>
  <c r="HH23" i="1"/>
  <c r="HH25" i="1"/>
  <c r="HH21" i="1"/>
  <c r="HH31" i="1"/>
  <c r="HH29" i="1"/>
  <c r="HH19" i="1"/>
  <c r="TH30" i="1"/>
  <c r="F15" i="18" s="1"/>
  <c r="IK42" i="1"/>
  <c r="IK43" i="1"/>
  <c r="IK44" i="1"/>
  <c r="IK39" i="1"/>
  <c r="HV44" i="1"/>
  <c r="IK45" i="1"/>
  <c r="IK48" i="1"/>
  <c r="HV48" i="1"/>
  <c r="IK47" i="1"/>
  <c r="IK38" i="1"/>
  <c r="IK41" i="1"/>
  <c r="IK46" i="1"/>
  <c r="IJ46" i="1" l="1"/>
  <c r="IJ38" i="1"/>
  <c r="IJ45" i="1"/>
  <c r="IJ41" i="1"/>
  <c r="IJ47" i="1"/>
  <c r="IJ48" i="1"/>
  <c r="IJ44" i="1"/>
  <c r="IJ42" i="1"/>
  <c r="IJ43" i="1"/>
  <c r="IJ39" i="1"/>
  <c r="HT40" i="1"/>
  <c r="HU40" i="1" s="1"/>
  <c r="II40" i="1"/>
  <c r="HU44" i="1"/>
  <c r="II37" i="1"/>
  <c r="HT37" i="1"/>
  <c r="TH35" i="1"/>
  <c r="F20" i="18" s="1"/>
  <c r="TH39" i="1"/>
  <c r="F24" i="18" s="1"/>
  <c r="V16" i="4"/>
  <c r="V15" i="4"/>
  <c r="V14" i="4"/>
  <c r="V13" i="4"/>
  <c r="V12" i="4"/>
  <c r="V11" i="4"/>
  <c r="V2" i="4"/>
  <c r="V3" i="4"/>
  <c r="V4" i="4"/>
  <c r="V5" i="4"/>
  <c r="V19" i="4"/>
  <c r="V26" i="4"/>
  <c r="AX19" i="1"/>
  <c r="BH19" i="1"/>
  <c r="HV47" i="1"/>
  <c r="HV43" i="1"/>
  <c r="IK37" i="1"/>
  <c r="HV45" i="1"/>
  <c r="IK40" i="1"/>
  <c r="HV38" i="1"/>
  <c r="HV39" i="1"/>
  <c r="HV41" i="1"/>
  <c r="HV46" i="1"/>
  <c r="HV37" i="1"/>
  <c r="HV42" i="1"/>
  <c r="IJ37" i="1" l="1"/>
  <c r="IJ40" i="1"/>
  <c r="HU37" i="1"/>
  <c r="AX20" i="1"/>
  <c r="BH20" i="1"/>
  <c r="AX21" i="1"/>
  <c r="BH21" i="1"/>
  <c r="AX22" i="1"/>
  <c r="BH22" i="1"/>
  <c r="AX23" i="1"/>
  <c r="BH23" i="1"/>
  <c r="AX24" i="1"/>
  <c r="BH24" i="1"/>
  <c r="AX25" i="1"/>
  <c r="BH25" i="1"/>
  <c r="BI25" i="1" s="1"/>
  <c r="BJ25" i="1" s="1"/>
  <c r="AX26" i="1"/>
  <c r="AY26" i="1" s="1"/>
  <c r="AZ26" i="1" s="1"/>
  <c r="BH26" i="1"/>
  <c r="AX27" i="1"/>
  <c r="AY27" i="1" s="1"/>
  <c r="BH27" i="1"/>
  <c r="BI27" i="1" s="1"/>
  <c r="BJ27" i="1" s="1"/>
  <c r="AX28" i="1"/>
  <c r="AY28" i="1" s="1"/>
  <c r="AZ28" i="1" s="1"/>
  <c r="BH28" i="1"/>
  <c r="BI28" i="1" s="1"/>
  <c r="BJ28" i="1" s="1"/>
  <c r="AX29" i="1"/>
  <c r="AY29" i="1" s="1"/>
  <c r="AZ29" i="1" s="1"/>
  <c r="BH29" i="1"/>
  <c r="BI29" i="1" s="1"/>
  <c r="BJ29" i="1" s="1"/>
  <c r="AX30" i="1"/>
  <c r="AY30" i="1" s="1"/>
  <c r="AZ30" i="1" s="1"/>
  <c r="BH30" i="1"/>
  <c r="BI30" i="1" s="1"/>
  <c r="BJ30" i="1" s="1"/>
  <c r="AX31" i="1"/>
  <c r="AY31" i="1" s="1"/>
  <c r="AZ31" i="1" s="1"/>
  <c r="BH31" i="1"/>
  <c r="BI31" i="1" s="1"/>
  <c r="BJ31" i="1" s="1"/>
  <c r="HV40" i="1"/>
  <c r="DQ31" i="1" l="1"/>
  <c r="DQ29" i="1"/>
  <c r="DQ30" i="1"/>
  <c r="DQ28" i="1"/>
  <c r="BB31" i="1"/>
  <c r="BC31" i="1" s="1"/>
  <c r="P48" i="18" s="1"/>
  <c r="BB28" i="1"/>
  <c r="BC28" i="1" s="1"/>
  <c r="P45" i="18" s="1"/>
  <c r="BB26" i="1"/>
  <c r="BC26" i="1" s="1"/>
  <c r="P43" i="18" s="1"/>
  <c r="BB29" i="1"/>
  <c r="BC29" i="1" s="1"/>
  <c r="P46" i="18" s="1"/>
  <c r="BB30" i="1"/>
  <c r="BC30" i="1" s="1"/>
  <c r="P47" i="18" s="1"/>
  <c r="MJ14" i="1"/>
  <c r="FA14" i="1"/>
  <c r="JD18" i="1"/>
  <c r="GT3" i="1"/>
  <c r="GT14" i="1" s="1"/>
  <c r="GS3" i="1"/>
  <c r="GS14" i="1" s="1"/>
  <c r="GR3" i="1"/>
  <c r="GR14" i="1" s="1"/>
  <c r="GQ3" i="1"/>
  <c r="GQ14" i="1" s="1"/>
  <c r="GP3" i="1"/>
  <c r="GP14" i="1" s="1"/>
  <c r="GO3" i="1"/>
  <c r="GO14" i="1" s="1"/>
  <c r="AE1" i="8"/>
  <c r="Y1" i="8"/>
  <c r="AE1" i="14"/>
  <c r="Y1" i="14"/>
  <c r="IU47" i="1" l="1"/>
  <c r="IV47" i="1" s="1"/>
  <c r="IU46" i="1"/>
  <c r="IV46" i="1" s="1"/>
  <c r="IU43" i="1"/>
  <c r="IV43" i="1" s="1"/>
  <c r="IU41" i="1"/>
  <c r="IV41" i="1" s="1"/>
  <c r="IU42" i="1"/>
  <c r="IV42" i="1" s="1"/>
  <c r="IU48" i="1"/>
  <c r="IV48" i="1" s="1"/>
  <c r="IU45" i="1"/>
  <c r="IV45" i="1" s="1"/>
  <c r="IU44" i="1"/>
  <c r="IV44" i="1" s="1"/>
  <c r="GR11" i="1"/>
  <c r="HD14" i="1"/>
  <c r="GO11" i="1"/>
  <c r="HA14" i="1"/>
  <c r="GS11" i="1"/>
  <c r="HE14" i="1"/>
  <c r="GP11" i="1"/>
  <c r="HB14" i="1"/>
  <c r="GT11" i="1"/>
  <c r="HF14" i="1"/>
  <c r="GQ11" i="1"/>
  <c r="HC14" i="1"/>
  <c r="EB5" i="1"/>
  <c r="EA5" i="1"/>
  <c r="DZ5" i="1"/>
  <c r="DP5" i="1"/>
  <c r="DO5" i="1"/>
  <c r="DE5" i="1"/>
  <c r="DD5" i="1"/>
  <c r="CT5" i="1"/>
  <c r="CS5" i="1"/>
  <c r="AV29" i="22" l="1"/>
  <c r="AV31" i="22"/>
  <c r="AV36" i="22"/>
  <c r="AV32" i="22"/>
  <c r="AV34" i="22"/>
  <c r="AV33" i="22"/>
  <c r="AV30" i="22"/>
  <c r="AV35" i="22"/>
  <c r="TP18" i="1"/>
  <c r="VL10" i="1" l="1"/>
  <c r="VH16" i="1"/>
  <c r="VB16" i="1"/>
  <c r="UD16" i="1"/>
  <c r="UT20" i="1"/>
  <c r="UU20" i="1" s="1"/>
  <c r="UT21" i="1"/>
  <c r="UU21" i="1" s="1"/>
  <c r="UT22" i="1"/>
  <c r="UU22" i="1" s="1"/>
  <c r="UT23" i="1"/>
  <c r="UU23" i="1" s="1"/>
  <c r="UT24" i="1"/>
  <c r="UU24" i="1" s="1"/>
  <c r="UT25" i="1"/>
  <c r="UU25" i="1" s="1"/>
  <c r="UT26" i="1"/>
  <c r="UU26" i="1" s="1"/>
  <c r="UT27" i="1"/>
  <c r="UU27" i="1" s="1"/>
  <c r="UT28" i="1"/>
  <c r="UU28" i="1" s="1"/>
  <c r="UT29" i="1"/>
  <c r="UU29" i="1" s="1"/>
  <c r="UT30" i="1"/>
  <c r="UU30" i="1" s="1"/>
  <c r="UT31" i="1"/>
  <c r="UU31" i="1" s="1"/>
  <c r="UT32" i="1"/>
  <c r="UU32" i="1" s="1"/>
  <c r="UT33" i="1"/>
  <c r="UU33" i="1" s="1"/>
  <c r="UT34" i="1"/>
  <c r="UU34" i="1" s="1"/>
  <c r="UT35" i="1"/>
  <c r="UU35" i="1" s="1"/>
  <c r="UT36" i="1"/>
  <c r="UU36" i="1" s="1"/>
  <c r="UT37" i="1"/>
  <c r="UU37" i="1" s="1"/>
  <c r="UT38" i="1"/>
  <c r="UU38" i="1" s="1"/>
  <c r="UT39" i="1"/>
  <c r="UU39" i="1" s="1"/>
  <c r="UT40" i="1"/>
  <c r="UU40" i="1" s="1"/>
  <c r="UT41" i="1"/>
  <c r="UU41" i="1" s="1"/>
  <c r="UT42" i="1"/>
  <c r="UU42" i="1" s="1"/>
  <c r="UT43" i="1"/>
  <c r="UU43" i="1" s="1"/>
  <c r="UT44" i="1"/>
  <c r="UU44" i="1" s="1"/>
  <c r="UT45" i="1"/>
  <c r="UU45" i="1" s="1"/>
  <c r="UT46" i="1"/>
  <c r="UU46" i="1" s="1"/>
  <c r="UT47" i="1"/>
  <c r="UU47" i="1" s="1"/>
  <c r="UT48" i="1"/>
  <c r="UU48" i="1" s="1"/>
  <c r="UK20" i="1"/>
  <c r="UL20" i="1" s="1"/>
  <c r="UK21" i="1"/>
  <c r="UL21" i="1" s="1"/>
  <c r="UK22" i="1"/>
  <c r="UL22" i="1" s="1"/>
  <c r="UK23" i="1"/>
  <c r="UL23" i="1" s="1"/>
  <c r="UK24" i="1"/>
  <c r="UL24" i="1" s="1"/>
  <c r="UK25" i="1"/>
  <c r="UL25" i="1" s="1"/>
  <c r="UK26" i="1"/>
  <c r="UL26" i="1" s="1"/>
  <c r="UK27" i="1"/>
  <c r="UL27" i="1" s="1"/>
  <c r="UK28" i="1"/>
  <c r="UL28" i="1" s="1"/>
  <c r="UK29" i="1"/>
  <c r="UL29" i="1" s="1"/>
  <c r="UK30" i="1"/>
  <c r="UL30" i="1" s="1"/>
  <c r="UK31" i="1"/>
  <c r="UL31" i="1" s="1"/>
  <c r="UK32" i="1"/>
  <c r="UL32" i="1" s="1"/>
  <c r="UK33" i="1"/>
  <c r="UL33" i="1" s="1"/>
  <c r="UK34" i="1"/>
  <c r="UL34" i="1" s="1"/>
  <c r="UK35" i="1"/>
  <c r="UL35" i="1" s="1"/>
  <c r="UK36" i="1"/>
  <c r="UL36" i="1" s="1"/>
  <c r="UK37" i="1"/>
  <c r="UL37" i="1" s="1"/>
  <c r="UK38" i="1"/>
  <c r="UL38" i="1" s="1"/>
  <c r="UK39" i="1"/>
  <c r="UL39" i="1" s="1"/>
  <c r="UK40" i="1"/>
  <c r="UL40" i="1" s="1"/>
  <c r="UK41" i="1"/>
  <c r="UL41" i="1" s="1"/>
  <c r="UK42" i="1"/>
  <c r="UL42" i="1" s="1"/>
  <c r="UK43" i="1"/>
  <c r="UL43" i="1" s="1"/>
  <c r="UK44" i="1"/>
  <c r="UL44" i="1" s="1"/>
  <c r="UK45" i="1"/>
  <c r="UL45" i="1" s="1"/>
  <c r="UK46" i="1"/>
  <c r="UL46" i="1" s="1"/>
  <c r="UK47" i="1"/>
  <c r="UL47" i="1" s="1"/>
  <c r="UK48" i="1"/>
  <c r="UL48" i="1" s="1"/>
  <c r="VF16" i="1"/>
  <c r="UZ16" i="1"/>
  <c r="UB16" i="1"/>
  <c r="TV16" i="1"/>
  <c r="VF19" i="1"/>
  <c r="VF20" i="1"/>
  <c r="VF21" i="1"/>
  <c r="VF22" i="1"/>
  <c r="VF23" i="1"/>
  <c r="VF24" i="1"/>
  <c r="VF25" i="1"/>
  <c r="VF26" i="1"/>
  <c r="VF27" i="1"/>
  <c r="VF28" i="1"/>
  <c r="VF29" i="1"/>
  <c r="VF30" i="1"/>
  <c r="VF31" i="1"/>
  <c r="VF32" i="1"/>
  <c r="VF33" i="1"/>
  <c r="VF34" i="1"/>
  <c r="VF35" i="1"/>
  <c r="VF36" i="1"/>
  <c r="VF37" i="1"/>
  <c r="VF38" i="1"/>
  <c r="VF39" i="1"/>
  <c r="VF40" i="1"/>
  <c r="VF41" i="1"/>
  <c r="VF42" i="1"/>
  <c r="VF43" i="1"/>
  <c r="VF44" i="1"/>
  <c r="VF45" i="1"/>
  <c r="VF46" i="1"/>
  <c r="VF47" i="1"/>
  <c r="VF48" i="1"/>
  <c r="UZ19" i="1"/>
  <c r="UZ20" i="1"/>
  <c r="UZ21" i="1"/>
  <c r="UZ22" i="1"/>
  <c r="UZ23" i="1"/>
  <c r="UZ24" i="1"/>
  <c r="UZ25" i="1"/>
  <c r="UZ26" i="1"/>
  <c r="UZ27" i="1"/>
  <c r="UZ28" i="1"/>
  <c r="UZ29" i="1"/>
  <c r="UZ30" i="1"/>
  <c r="UZ31" i="1"/>
  <c r="UZ32" i="1"/>
  <c r="UZ33" i="1"/>
  <c r="UZ34" i="1"/>
  <c r="UZ35" i="1"/>
  <c r="UZ36" i="1"/>
  <c r="UZ37" i="1"/>
  <c r="UZ38" i="1"/>
  <c r="UZ39" i="1"/>
  <c r="UZ40" i="1"/>
  <c r="UZ41" i="1"/>
  <c r="UZ42" i="1"/>
  <c r="UZ43" i="1"/>
  <c r="UZ44" i="1"/>
  <c r="UZ45" i="1"/>
  <c r="UZ46" i="1"/>
  <c r="UZ47" i="1"/>
  <c r="UZ48" i="1"/>
  <c r="UB19" i="1"/>
  <c r="UB20" i="1"/>
  <c r="UB21" i="1"/>
  <c r="UB22" i="1"/>
  <c r="UB23" i="1"/>
  <c r="UB24" i="1"/>
  <c r="UB25" i="1"/>
  <c r="UB26" i="1"/>
  <c r="UB27" i="1"/>
  <c r="UB28" i="1"/>
  <c r="UB29" i="1"/>
  <c r="UB30" i="1"/>
  <c r="UB31" i="1"/>
  <c r="UB32" i="1"/>
  <c r="UB33" i="1"/>
  <c r="UB34" i="1"/>
  <c r="UB35" i="1"/>
  <c r="UB36" i="1"/>
  <c r="UB37" i="1"/>
  <c r="UB38" i="1"/>
  <c r="UB39" i="1"/>
  <c r="UB40" i="1"/>
  <c r="UB41" i="1"/>
  <c r="UB42" i="1"/>
  <c r="UB43" i="1"/>
  <c r="UB44" i="1"/>
  <c r="UB45" i="1"/>
  <c r="UB46" i="1"/>
  <c r="UB47" i="1"/>
  <c r="UB48" i="1"/>
  <c r="TV19" i="1"/>
  <c r="TV20" i="1"/>
  <c r="TV21" i="1"/>
  <c r="TV22" i="1"/>
  <c r="TV23" i="1"/>
  <c r="TV24" i="1"/>
  <c r="TV25" i="1"/>
  <c r="TV26" i="1"/>
  <c r="TV27" i="1"/>
  <c r="TV28" i="1"/>
  <c r="TV29" i="1"/>
  <c r="TV30" i="1"/>
  <c r="TV31" i="1"/>
  <c r="TV32" i="1"/>
  <c r="TV33" i="1"/>
  <c r="TV34" i="1"/>
  <c r="TV35" i="1"/>
  <c r="TV36" i="1"/>
  <c r="TV37" i="1"/>
  <c r="TV38" i="1"/>
  <c r="TV39" i="1"/>
  <c r="TV40" i="1"/>
  <c r="TV41" i="1"/>
  <c r="TV42" i="1"/>
  <c r="TV43" i="1"/>
  <c r="TV44" i="1"/>
  <c r="TV45" i="1"/>
  <c r="TV46" i="1"/>
  <c r="TV47" i="1"/>
  <c r="TV48" i="1"/>
  <c r="UZ11" i="1"/>
  <c r="RV4" i="1"/>
  <c r="MJ4" i="1"/>
  <c r="IZ4" i="1"/>
  <c r="CP2" i="22" s="1"/>
  <c r="TM14" i="1"/>
  <c r="VO48" i="1"/>
  <c r="VP48" i="1" s="1"/>
  <c r="VQ48" i="1" s="1"/>
  <c r="VO47" i="1"/>
  <c r="VP47" i="1" s="1"/>
  <c r="VQ47" i="1" s="1"/>
  <c r="VO46" i="1"/>
  <c r="VP46" i="1" s="1"/>
  <c r="VQ46" i="1" s="1"/>
  <c r="VO45" i="1"/>
  <c r="VP45" i="1" s="1"/>
  <c r="VQ45" i="1" s="1"/>
  <c r="VO44" i="1"/>
  <c r="VP44" i="1" s="1"/>
  <c r="VQ44" i="1" s="1"/>
  <c r="VO43" i="1"/>
  <c r="VP43" i="1" s="1"/>
  <c r="VQ43" i="1" s="1"/>
  <c r="VO42" i="1"/>
  <c r="VP42" i="1" s="1"/>
  <c r="VQ42" i="1" s="1"/>
  <c r="VO41" i="1"/>
  <c r="VP41" i="1" s="1"/>
  <c r="VQ41" i="1" s="1"/>
  <c r="VO40" i="1"/>
  <c r="VP40" i="1" s="1"/>
  <c r="VQ40" i="1" s="1"/>
  <c r="VO39" i="1"/>
  <c r="VP39" i="1" s="1"/>
  <c r="VQ39" i="1" s="1"/>
  <c r="VO38" i="1"/>
  <c r="VP38" i="1" s="1"/>
  <c r="VQ38" i="1" s="1"/>
  <c r="VO37" i="1"/>
  <c r="VP37" i="1" s="1"/>
  <c r="VQ37" i="1" s="1"/>
  <c r="VO36" i="1"/>
  <c r="VP36" i="1" s="1"/>
  <c r="VQ36" i="1" s="1"/>
  <c r="VO35" i="1"/>
  <c r="VP35" i="1" s="1"/>
  <c r="VQ35" i="1" s="1"/>
  <c r="VO34" i="1"/>
  <c r="VP34" i="1" s="1"/>
  <c r="VQ34" i="1" s="1"/>
  <c r="VO33" i="1"/>
  <c r="VP33" i="1" s="1"/>
  <c r="VQ33" i="1" s="1"/>
  <c r="VO32" i="1"/>
  <c r="VP32" i="1" s="1"/>
  <c r="VQ32" i="1" s="1"/>
  <c r="VO31" i="1"/>
  <c r="VP31" i="1" s="1"/>
  <c r="VQ31" i="1" s="1"/>
  <c r="VO30" i="1"/>
  <c r="VP30" i="1" s="1"/>
  <c r="VQ30" i="1" s="1"/>
  <c r="VO29" i="1"/>
  <c r="VP29" i="1" s="1"/>
  <c r="VQ29" i="1" s="1"/>
  <c r="VO28" i="1"/>
  <c r="VP28" i="1" s="1"/>
  <c r="VQ28" i="1" s="1"/>
  <c r="VO27" i="1"/>
  <c r="VP27" i="1" s="1"/>
  <c r="VQ27" i="1" s="1"/>
  <c r="VO26" i="1"/>
  <c r="VP26" i="1" s="1"/>
  <c r="VQ26" i="1" s="1"/>
  <c r="VO25" i="1"/>
  <c r="VP25" i="1" s="1"/>
  <c r="VQ25" i="1" s="1"/>
  <c r="VO24" i="1"/>
  <c r="VP24" i="1" s="1"/>
  <c r="VQ24" i="1" s="1"/>
  <c r="VO23" i="1"/>
  <c r="VP23" i="1" s="1"/>
  <c r="VQ23" i="1" s="1"/>
  <c r="VO22" i="1"/>
  <c r="VP22" i="1" s="1"/>
  <c r="VQ22" i="1" s="1"/>
  <c r="VO21" i="1"/>
  <c r="VO20" i="1"/>
  <c r="VO19" i="1"/>
  <c r="VP18" i="1"/>
  <c r="VL14" i="1"/>
  <c r="VL13" i="1"/>
  <c r="UQ13" i="1"/>
  <c r="UH13" i="1"/>
  <c r="TM13" i="1"/>
  <c r="NZ13" i="1"/>
  <c r="NP13" i="1"/>
  <c r="NF13" i="1"/>
  <c r="MV13" i="1"/>
  <c r="ML13" i="1"/>
  <c r="LC13" i="1"/>
  <c r="KS13" i="1"/>
  <c r="KI13" i="1"/>
  <c r="JJ13" i="1"/>
  <c r="GI13" i="1"/>
  <c r="GC13" i="1"/>
  <c r="FW13" i="1"/>
  <c r="FQ13" i="1"/>
  <c r="FK13" i="1"/>
  <c r="FE13" i="1"/>
  <c r="CI13" i="1"/>
  <c r="BY13" i="1"/>
  <c r="BO13" i="1"/>
  <c r="BE13" i="1"/>
  <c r="AU13" i="1"/>
  <c r="AK13" i="1"/>
  <c r="AA13" i="1"/>
  <c r="Q13" i="1"/>
  <c r="TH13" i="1"/>
  <c r="TP23" i="1"/>
  <c r="TQ23" i="1" s="1"/>
  <c r="TP24" i="1"/>
  <c r="TQ24" i="1" s="1"/>
  <c r="TP25" i="1"/>
  <c r="TQ25" i="1" s="1"/>
  <c r="TP26" i="1"/>
  <c r="TQ26" i="1" s="1"/>
  <c r="TP27" i="1"/>
  <c r="TQ27" i="1" s="1"/>
  <c r="TP28" i="1"/>
  <c r="TQ28" i="1" s="1"/>
  <c r="TP29" i="1"/>
  <c r="TQ29" i="1" s="1"/>
  <c r="TP30" i="1"/>
  <c r="TQ30" i="1" s="1"/>
  <c r="TP31" i="1"/>
  <c r="TQ31" i="1" s="1"/>
  <c r="TP32" i="1"/>
  <c r="TQ32" i="1" s="1"/>
  <c r="TP33" i="1"/>
  <c r="TQ33" i="1" s="1"/>
  <c r="TP34" i="1"/>
  <c r="TQ34" i="1" s="1"/>
  <c r="TP35" i="1"/>
  <c r="TQ35" i="1" s="1"/>
  <c r="TP36" i="1"/>
  <c r="TQ36" i="1" s="1"/>
  <c r="TP37" i="1"/>
  <c r="TQ37" i="1" s="1"/>
  <c r="TP38" i="1"/>
  <c r="TQ38" i="1" s="1"/>
  <c r="TP39" i="1"/>
  <c r="TQ39" i="1" s="1"/>
  <c r="TP40" i="1"/>
  <c r="TQ40" i="1" s="1"/>
  <c r="TP41" i="1"/>
  <c r="TQ41" i="1" s="1"/>
  <c r="TP42" i="1"/>
  <c r="TQ42" i="1" s="1"/>
  <c r="TP43" i="1"/>
  <c r="TQ43" i="1" s="1"/>
  <c r="TP44" i="1"/>
  <c r="TQ44" i="1" s="1"/>
  <c r="TP45" i="1"/>
  <c r="TQ45" i="1" s="1"/>
  <c r="TP46" i="1"/>
  <c r="TQ46" i="1" s="1"/>
  <c r="TP47" i="1"/>
  <c r="TQ47" i="1" s="1"/>
  <c r="TP48" i="1"/>
  <c r="TQ48" i="1" s="1"/>
  <c r="OU4" i="1" l="1"/>
  <c r="CZ2" i="22"/>
  <c r="RV14" i="1"/>
  <c r="OQ13" i="1"/>
  <c r="GW13" i="1"/>
  <c r="IZ14" i="1"/>
  <c r="VS33" i="1"/>
  <c r="VT33" i="1" s="1"/>
  <c r="BN50" i="18" s="1"/>
  <c r="VS25" i="1"/>
  <c r="VT25" i="1" s="1"/>
  <c r="BN42" i="18" s="1"/>
  <c r="VS29" i="1"/>
  <c r="VT29" i="1" s="1"/>
  <c r="BN46" i="18" s="1"/>
  <c r="VS36" i="1"/>
  <c r="VT36" i="1" s="1"/>
  <c r="BN53" i="18" s="1"/>
  <c r="VS40" i="1"/>
  <c r="VT40" i="1" s="1"/>
  <c r="BN57" i="18" s="1"/>
  <c r="VS44" i="1"/>
  <c r="VT44" i="1" s="1"/>
  <c r="BN61" i="18" s="1"/>
  <c r="VS48" i="1"/>
  <c r="VT48" i="1" s="1"/>
  <c r="BN65" i="18" s="1"/>
  <c r="VS22" i="1"/>
  <c r="VT22" i="1" s="1"/>
  <c r="BN39" i="18" s="1"/>
  <c r="VS26" i="1"/>
  <c r="VT26" i="1" s="1"/>
  <c r="BN43" i="18" s="1"/>
  <c r="VS30" i="1"/>
  <c r="VT30" i="1" s="1"/>
  <c r="BN47" i="18" s="1"/>
  <c r="VS37" i="1"/>
  <c r="VT37" i="1" s="1"/>
  <c r="BN54" i="18" s="1"/>
  <c r="VS45" i="1"/>
  <c r="VT45" i="1" s="1"/>
  <c r="BN62" i="18" s="1"/>
  <c r="VS23" i="1"/>
  <c r="VT23" i="1" s="1"/>
  <c r="BN40" i="18" s="1"/>
  <c r="VS27" i="1"/>
  <c r="VT27" i="1" s="1"/>
  <c r="BN44" i="18" s="1"/>
  <c r="VS31" i="1"/>
  <c r="VT31" i="1" s="1"/>
  <c r="BN48" i="18" s="1"/>
  <c r="VS34" i="1"/>
  <c r="VT34" i="1" s="1"/>
  <c r="BN51" i="18" s="1"/>
  <c r="VS38" i="1"/>
  <c r="VT38" i="1" s="1"/>
  <c r="BN55" i="18" s="1"/>
  <c r="VS42" i="1"/>
  <c r="VT42" i="1" s="1"/>
  <c r="BN59" i="18" s="1"/>
  <c r="VS46" i="1"/>
  <c r="VT46" i="1" s="1"/>
  <c r="BN63" i="18" s="1"/>
  <c r="TH23" i="1"/>
  <c r="F5" i="18"/>
  <c r="VS24" i="1"/>
  <c r="VT24" i="1" s="1"/>
  <c r="BN41" i="18" s="1"/>
  <c r="VS28" i="1"/>
  <c r="VT28" i="1" s="1"/>
  <c r="BN45" i="18" s="1"/>
  <c r="VS32" i="1"/>
  <c r="VT32" i="1" s="1"/>
  <c r="BN49" i="18" s="1"/>
  <c r="VS35" i="1"/>
  <c r="VT35" i="1" s="1"/>
  <c r="BN52" i="18" s="1"/>
  <c r="VS39" i="1"/>
  <c r="VT39" i="1" s="1"/>
  <c r="BN56" i="18" s="1"/>
  <c r="VS43" i="1"/>
  <c r="VT43" i="1" s="1"/>
  <c r="BN60" i="18" s="1"/>
  <c r="VS47" i="1"/>
  <c r="VT47" i="1" s="1"/>
  <c r="BN64" i="18" s="1"/>
  <c r="TH47" i="1"/>
  <c r="TH31" i="1"/>
  <c r="F4" i="18"/>
  <c r="TH46" i="1"/>
  <c r="TH42" i="1"/>
  <c r="TH38" i="1"/>
  <c r="TH34" i="1"/>
  <c r="TJ30" i="1"/>
  <c r="TH26" i="1"/>
  <c r="TH22" i="1"/>
  <c r="TH45" i="1"/>
  <c r="TH41" i="1"/>
  <c r="TH37" i="1"/>
  <c r="TH33" i="1"/>
  <c r="TH29" i="1"/>
  <c r="TH25" i="1"/>
  <c r="TH21" i="1"/>
  <c r="TH48" i="1"/>
  <c r="TH44" i="1"/>
  <c r="TH40" i="1"/>
  <c r="TH36" i="1"/>
  <c r="TH32" i="1"/>
  <c r="TH28" i="1"/>
  <c r="TH24" i="1"/>
  <c r="TJ20" i="1"/>
  <c r="TH43" i="1"/>
  <c r="TJ35" i="1"/>
  <c r="TH27" i="1"/>
  <c r="TJ39" i="1"/>
  <c r="TV10" i="1"/>
  <c r="TV9" i="1"/>
  <c r="UQ11" i="1"/>
  <c r="UQ14" i="1"/>
  <c r="NT18" i="1"/>
  <c r="NJ18" i="1"/>
  <c r="MZ18" i="1"/>
  <c r="MP18" i="1"/>
  <c r="LG18" i="1"/>
  <c r="KW18" i="1"/>
  <c r="KM18" i="1"/>
  <c r="JN18" i="1"/>
  <c r="CM18" i="1"/>
  <c r="CC18" i="1"/>
  <c r="BS18" i="1"/>
  <c r="BI18" i="1"/>
  <c r="AY18" i="1"/>
  <c r="AO18" i="1"/>
  <c r="AE18" i="1"/>
  <c r="U18" i="1"/>
  <c r="K18" i="1"/>
  <c r="E23" i="9"/>
  <c r="E22" i="9"/>
  <c r="E21" i="9"/>
  <c r="E20" i="9"/>
  <c r="E19" i="9"/>
  <c r="E18" i="9"/>
  <c r="E17" i="9"/>
  <c r="E16" i="9"/>
  <c r="E15" i="9"/>
  <c r="UH3" i="1"/>
  <c r="UH11" i="1"/>
  <c r="TV11" i="1"/>
  <c r="AZ27" i="1"/>
  <c r="GW30" i="1" l="1"/>
  <c r="HI30" i="1" s="1"/>
  <c r="GW42" i="1"/>
  <c r="HI42" i="1" s="1"/>
  <c r="GW48" i="1"/>
  <c r="HI48" i="1" s="1"/>
  <c r="GW33" i="1"/>
  <c r="HI33" i="1" s="1"/>
  <c r="GW44" i="1"/>
  <c r="HI44" i="1" s="1"/>
  <c r="GW32" i="1"/>
  <c r="HI32" i="1" s="1"/>
  <c r="GW34" i="1"/>
  <c r="HI34" i="1" s="1"/>
  <c r="GW35" i="1"/>
  <c r="HI35" i="1" s="1"/>
  <c r="GW29" i="1"/>
  <c r="HI29" i="1" s="1"/>
  <c r="GW31" i="1"/>
  <c r="HI31" i="1" s="1"/>
  <c r="GW19" i="1"/>
  <c r="HI19" i="1" s="1"/>
  <c r="GW45" i="1"/>
  <c r="HI45" i="1" s="1"/>
  <c r="GW47" i="1"/>
  <c r="HI47" i="1" s="1"/>
  <c r="GW40" i="1"/>
  <c r="HI40" i="1" s="1"/>
  <c r="GW28" i="1"/>
  <c r="HI28" i="1" s="1"/>
  <c r="GW38" i="1"/>
  <c r="HI38" i="1" s="1"/>
  <c r="GW41" i="1"/>
  <c r="HI41" i="1" s="1"/>
  <c r="GW27" i="1"/>
  <c r="HI27" i="1" s="1"/>
  <c r="GW46" i="1"/>
  <c r="HI46" i="1" s="1"/>
  <c r="GW36" i="1"/>
  <c r="HI36" i="1" s="1"/>
  <c r="GW43" i="1"/>
  <c r="HI43" i="1" s="1"/>
  <c r="GW37" i="1"/>
  <c r="HI37" i="1" s="1"/>
  <c r="GW39" i="1"/>
  <c r="HI39" i="1" s="1"/>
  <c r="GW24" i="1"/>
  <c r="HI24" i="1" s="1"/>
  <c r="GW25" i="1"/>
  <c r="HI25" i="1" s="1"/>
  <c r="GW22" i="1"/>
  <c r="HI22" i="1" s="1"/>
  <c r="GW21" i="1"/>
  <c r="HI21" i="1" s="1"/>
  <c r="GW20" i="1"/>
  <c r="HI20" i="1" s="1"/>
  <c r="GW26" i="1"/>
  <c r="HI26" i="1" s="1"/>
  <c r="GW23" i="1"/>
  <c r="HI23" i="1" s="1"/>
  <c r="TJ21" i="1"/>
  <c r="F6" i="18"/>
  <c r="TJ26" i="1"/>
  <c r="F11" i="18"/>
  <c r="TJ42" i="1"/>
  <c r="F27" i="18"/>
  <c r="TJ47" i="1"/>
  <c r="F32" i="18"/>
  <c r="TJ27" i="1"/>
  <c r="F12" i="18"/>
  <c r="TJ24" i="1"/>
  <c r="F9" i="18"/>
  <c r="TJ40" i="1"/>
  <c r="F25" i="18"/>
  <c r="TJ25" i="1"/>
  <c r="F10" i="18"/>
  <c r="TJ41" i="1"/>
  <c r="F26" i="18"/>
  <c r="TJ46" i="1"/>
  <c r="F31" i="18"/>
  <c r="TJ23" i="1"/>
  <c r="F8" i="18"/>
  <c r="TJ44" i="1"/>
  <c r="F29" i="18"/>
  <c r="TJ28" i="1"/>
  <c r="F13" i="18"/>
  <c r="TJ29" i="1"/>
  <c r="F14" i="18"/>
  <c r="TJ45" i="1"/>
  <c r="F30" i="18"/>
  <c r="TJ34" i="1"/>
  <c r="F19" i="18"/>
  <c r="TJ43" i="1"/>
  <c r="F28" i="18"/>
  <c r="TJ32" i="1"/>
  <c r="F17" i="18"/>
  <c r="TJ48" i="1"/>
  <c r="F33" i="18"/>
  <c r="TJ33" i="1"/>
  <c r="F18" i="18"/>
  <c r="TJ22" i="1"/>
  <c r="F7" i="18"/>
  <c r="TJ38" i="1"/>
  <c r="F23" i="18"/>
  <c r="TJ31" i="1"/>
  <c r="F16" i="18"/>
  <c r="TJ36" i="1"/>
  <c r="F21" i="18"/>
  <c r="TJ37" i="1"/>
  <c r="F22" i="18"/>
  <c r="BB27" i="1"/>
  <c r="BC27" i="1" s="1"/>
  <c r="P44" i="18" s="1"/>
  <c r="IZ27" i="1"/>
  <c r="UK16" i="1"/>
  <c r="UJ16" i="1"/>
  <c r="VS41" i="1"/>
  <c r="VT41" i="1" s="1"/>
  <c r="BN58" i="18" s="1"/>
  <c r="UK18" i="1"/>
  <c r="UX48" i="1"/>
  <c r="BL65" i="18" s="1"/>
  <c r="UX31" i="1"/>
  <c r="BL48" i="18" s="1"/>
  <c r="UX35" i="1"/>
  <c r="BL52" i="18" s="1"/>
  <c r="UW30" i="1"/>
  <c r="UX30" i="1"/>
  <c r="BL47" i="18" s="1"/>
  <c r="UW28" i="1"/>
  <c r="UX28" i="1"/>
  <c r="BL45" i="18" s="1"/>
  <c r="UW29" i="1"/>
  <c r="UX29" i="1"/>
  <c r="BL46" i="18" s="1"/>
  <c r="UW32" i="1"/>
  <c r="UX32" i="1"/>
  <c r="BL49" i="18" s="1"/>
  <c r="UW36" i="1"/>
  <c r="UX36" i="1"/>
  <c r="BL53" i="18" s="1"/>
  <c r="UW40" i="1"/>
  <c r="UX40" i="1"/>
  <c r="BL57" i="18" s="1"/>
  <c r="UW44" i="1"/>
  <c r="UX44" i="1"/>
  <c r="BL61" i="18" s="1"/>
  <c r="UW45" i="1"/>
  <c r="UX45" i="1"/>
  <c r="BL62" i="18" s="1"/>
  <c r="UW26" i="1"/>
  <c r="UW33" i="1"/>
  <c r="UX33" i="1"/>
  <c r="BL50" i="18" s="1"/>
  <c r="UW34" i="1"/>
  <c r="UX34" i="1"/>
  <c r="BL51" i="18" s="1"/>
  <c r="UW38" i="1"/>
  <c r="UX38" i="1"/>
  <c r="BL55" i="18" s="1"/>
  <c r="UW42" i="1"/>
  <c r="UX42" i="1"/>
  <c r="BL59" i="18" s="1"/>
  <c r="UW46" i="1"/>
  <c r="UX46" i="1"/>
  <c r="BL63" i="18" s="1"/>
  <c r="UT18" i="1"/>
  <c r="UX26" i="1"/>
  <c r="BL43" i="18" s="1"/>
  <c r="HK20" i="1" l="1"/>
  <c r="HK24" i="1"/>
  <c r="HK36" i="1"/>
  <c r="HK38" i="1"/>
  <c r="HK45" i="1"/>
  <c r="HK35" i="1"/>
  <c r="HK33" i="1"/>
  <c r="HK21" i="1"/>
  <c r="HK39" i="1"/>
  <c r="HK46" i="1"/>
  <c r="HK28" i="1"/>
  <c r="HK19" i="1"/>
  <c r="HK34" i="1"/>
  <c r="HK48" i="1"/>
  <c r="HK23" i="1"/>
  <c r="HK22" i="1"/>
  <c r="HK37" i="1"/>
  <c r="HK27" i="1"/>
  <c r="HK40" i="1"/>
  <c r="HK31" i="1"/>
  <c r="HK32" i="1"/>
  <c r="HK42" i="1"/>
  <c r="HK26" i="1"/>
  <c r="HK25" i="1"/>
  <c r="HK43" i="1"/>
  <c r="HK41" i="1"/>
  <c r="HK47" i="1"/>
  <c r="HK29" i="1"/>
  <c r="HK44" i="1"/>
  <c r="HK30" i="1"/>
  <c r="ID20" i="1"/>
  <c r="IC20" i="1"/>
  <c r="HP20" i="1"/>
  <c r="HM20" i="1"/>
  <c r="HO20" i="1"/>
  <c r="HP24" i="1"/>
  <c r="IC24" i="1"/>
  <c r="HM24" i="1"/>
  <c r="HO24" i="1"/>
  <c r="ID24" i="1"/>
  <c r="HO38" i="1"/>
  <c r="IC38" i="1"/>
  <c r="ID38" i="1"/>
  <c r="HM38" i="1"/>
  <c r="IE38" i="1"/>
  <c r="HP38" i="1"/>
  <c r="HQ38" i="1"/>
  <c r="HN38" i="1"/>
  <c r="IF38" i="1"/>
  <c r="ID45" i="1"/>
  <c r="IE45" i="1"/>
  <c r="HP45" i="1"/>
  <c r="HN45" i="1"/>
  <c r="IF45" i="1"/>
  <c r="HQ45" i="1"/>
  <c r="HO45" i="1"/>
  <c r="IC45" i="1"/>
  <c r="HM45" i="1"/>
  <c r="IC33" i="1"/>
  <c r="IE33" i="1"/>
  <c r="IF33" i="1"/>
  <c r="HM33" i="1"/>
  <c r="HO33" i="1"/>
  <c r="ID33" i="1"/>
  <c r="HQ33" i="1"/>
  <c r="HP33" i="1"/>
  <c r="ID21" i="1"/>
  <c r="HO21" i="1"/>
  <c r="HP21" i="1"/>
  <c r="IC21" i="1"/>
  <c r="HM21" i="1"/>
  <c r="HM39" i="1"/>
  <c r="HO39" i="1"/>
  <c r="HQ39" i="1"/>
  <c r="ID39" i="1"/>
  <c r="IF39" i="1"/>
  <c r="IE39" i="1"/>
  <c r="HP39" i="1"/>
  <c r="IC39" i="1"/>
  <c r="HN39" i="1"/>
  <c r="HO46" i="1"/>
  <c r="HM46" i="1"/>
  <c r="IE46" i="1"/>
  <c r="ID46" i="1"/>
  <c r="HQ46" i="1"/>
  <c r="IC46" i="1"/>
  <c r="IF46" i="1"/>
  <c r="HP46" i="1"/>
  <c r="HN46" i="1"/>
  <c r="IC28" i="1"/>
  <c r="HP28" i="1"/>
  <c r="HM28" i="1"/>
  <c r="HO28" i="1"/>
  <c r="ID28" i="1"/>
  <c r="HM19" i="1"/>
  <c r="IC19" i="1"/>
  <c r="HP19" i="1"/>
  <c r="ID19" i="1"/>
  <c r="HO19" i="1"/>
  <c r="IF34" i="1"/>
  <c r="IC48" i="1"/>
  <c r="HO48" i="1"/>
  <c r="IE48" i="1"/>
  <c r="HP48" i="1"/>
  <c r="ID48" i="1"/>
  <c r="HM48" i="1"/>
  <c r="HN48" i="1"/>
  <c r="IF48" i="1"/>
  <c r="HQ48" i="1"/>
  <c r="HN23" i="1"/>
  <c r="IC23" i="1"/>
  <c r="HO23" i="1"/>
  <c r="HM23" i="1"/>
  <c r="IF23" i="1"/>
  <c r="HQ23" i="1"/>
  <c r="IE23" i="1"/>
  <c r="HP23" i="1"/>
  <c r="ID23" i="1" s="1"/>
  <c r="HO22" i="1"/>
  <c r="HM22" i="1"/>
  <c r="ID22" i="1"/>
  <c r="HP22" i="1"/>
  <c r="IC22" i="1"/>
  <c r="IF37" i="1"/>
  <c r="IE37" i="1"/>
  <c r="HO37" i="1"/>
  <c r="IC37" i="1"/>
  <c r="HN37" i="1"/>
  <c r="ID37" i="1"/>
  <c r="HM37" i="1"/>
  <c r="HP37" i="1"/>
  <c r="HQ37" i="1"/>
  <c r="HM27" i="1"/>
  <c r="IE27" i="1"/>
  <c r="HP27" i="1"/>
  <c r="ID27" i="1" s="1"/>
  <c r="HQ27" i="1"/>
  <c r="HN27" i="1"/>
  <c r="IF27" i="1"/>
  <c r="HO27" i="1"/>
  <c r="IC27" i="1"/>
  <c r="IF40" i="1"/>
  <c r="IE40" i="1"/>
  <c r="IC40" i="1"/>
  <c r="HN40" i="1"/>
  <c r="ID40" i="1"/>
  <c r="HM40" i="1"/>
  <c r="HO40" i="1"/>
  <c r="HP40" i="1"/>
  <c r="HQ40" i="1"/>
  <c r="IF31" i="1"/>
  <c r="HM31" i="1"/>
  <c r="IE31" i="1"/>
  <c r="ID31" i="1"/>
  <c r="HQ31" i="1"/>
  <c r="HN31" i="1"/>
  <c r="HP31" i="1"/>
  <c r="HO31" i="1"/>
  <c r="IC31" i="1"/>
  <c r="HM32" i="1"/>
  <c r="HO32" i="1"/>
  <c r="HQ32" i="1"/>
  <c r="IF32" i="1"/>
  <c r="IE32" i="1"/>
  <c r="ID32" i="1"/>
  <c r="IC32" i="1"/>
  <c r="HP32" i="1"/>
  <c r="HN42" i="1"/>
  <c r="IF42" i="1"/>
  <c r="HO42" i="1"/>
  <c r="IC42" i="1"/>
  <c r="HP42" i="1"/>
  <c r="ID42" i="1"/>
  <c r="HM42" i="1"/>
  <c r="IE42" i="1"/>
  <c r="HQ42" i="1"/>
  <c r="HM26" i="1"/>
  <c r="HP26" i="1"/>
  <c r="ID26" i="1" s="1"/>
  <c r="HQ26" i="1"/>
  <c r="IF26" i="1"/>
  <c r="IE26" i="1"/>
  <c r="HO26" i="1"/>
  <c r="IC26" i="1"/>
  <c r="HN26" i="1"/>
  <c r="IC25" i="1"/>
  <c r="ID25" i="1"/>
  <c r="HM25" i="1"/>
  <c r="HO25" i="1"/>
  <c r="HP25" i="1"/>
  <c r="IF43" i="1"/>
  <c r="IE43" i="1"/>
  <c r="HO43" i="1"/>
  <c r="IC43" i="1"/>
  <c r="HN43" i="1"/>
  <c r="HM43" i="1"/>
  <c r="ID43" i="1"/>
  <c r="HQ43" i="1"/>
  <c r="HP43" i="1"/>
  <c r="IF41" i="1"/>
  <c r="IE41" i="1"/>
  <c r="HQ41" i="1"/>
  <c r="HO41" i="1"/>
  <c r="IC41" i="1"/>
  <c r="HN41" i="1"/>
  <c r="ID41" i="1"/>
  <c r="HM41" i="1"/>
  <c r="HP41" i="1"/>
  <c r="IE47" i="1"/>
  <c r="HM47" i="1"/>
  <c r="ID47" i="1"/>
  <c r="HQ47" i="1"/>
  <c r="IC47" i="1"/>
  <c r="IF47" i="1"/>
  <c r="HN47" i="1"/>
  <c r="HO47" i="1"/>
  <c r="HP47" i="1"/>
  <c r="HP29" i="1"/>
  <c r="IE29" i="1"/>
  <c r="IC29" i="1"/>
  <c r="HN29" i="1"/>
  <c r="IF29" i="1"/>
  <c r="HM29" i="1"/>
  <c r="ID29" i="1"/>
  <c r="HQ29" i="1"/>
  <c r="ID44" i="1"/>
  <c r="HM44" i="1"/>
  <c r="HN44" i="1"/>
  <c r="IC44" i="1"/>
  <c r="HP44" i="1"/>
  <c r="HQ44" i="1"/>
  <c r="HO44" i="1"/>
  <c r="IF44" i="1"/>
  <c r="IE44" i="1"/>
  <c r="HP30" i="1"/>
  <c r="IE30" i="1"/>
  <c r="HO30" i="1"/>
  <c r="IC30" i="1"/>
  <c r="HN30" i="1"/>
  <c r="IF30" i="1"/>
  <c r="HM30" i="1"/>
  <c r="ID30" i="1"/>
  <c r="HQ30" i="1"/>
  <c r="HP36" i="1"/>
  <c r="HM36" i="1"/>
  <c r="ID36" i="1"/>
  <c r="HO36" i="1"/>
  <c r="IC36" i="1"/>
  <c r="IC35" i="1"/>
  <c r="HM35" i="1"/>
  <c r="HO35" i="1"/>
  <c r="ID35" i="1"/>
  <c r="HP35" i="1"/>
  <c r="HM34" i="1"/>
  <c r="HN34" i="1"/>
  <c r="HQ34" i="1"/>
  <c r="HO34" i="1"/>
  <c r="IC34" i="1"/>
  <c r="IE34" i="1"/>
  <c r="HP34" i="1"/>
  <c r="ID34" i="1" s="1"/>
  <c r="HJ20" i="1"/>
  <c r="HQ20" i="1" s="1"/>
  <c r="HJ36" i="1"/>
  <c r="HJ45" i="1"/>
  <c r="HJ33" i="1"/>
  <c r="HJ21" i="1"/>
  <c r="HQ21" i="1" s="1"/>
  <c r="HJ39" i="1"/>
  <c r="HJ46" i="1"/>
  <c r="HJ28" i="1"/>
  <c r="HN28" i="1" s="1"/>
  <c r="HJ19" i="1"/>
  <c r="HN19" i="1" s="1"/>
  <c r="HJ34" i="1"/>
  <c r="HJ48" i="1"/>
  <c r="HJ24" i="1"/>
  <c r="HN24" i="1" s="1"/>
  <c r="HJ38" i="1"/>
  <c r="HJ35" i="1"/>
  <c r="HJ23" i="1"/>
  <c r="HJ22" i="1"/>
  <c r="HQ22" i="1" s="1"/>
  <c r="HJ37" i="1"/>
  <c r="HJ27" i="1"/>
  <c r="HJ40" i="1"/>
  <c r="HJ31" i="1"/>
  <c r="HJ32" i="1"/>
  <c r="HJ42" i="1"/>
  <c r="HJ26" i="1"/>
  <c r="HJ25" i="1"/>
  <c r="HQ25" i="1" s="1"/>
  <c r="HJ43" i="1"/>
  <c r="HJ41" i="1"/>
  <c r="HJ47" i="1"/>
  <c r="HJ29" i="1"/>
  <c r="HJ44" i="1"/>
  <c r="HJ30" i="1"/>
  <c r="IZ29" i="1"/>
  <c r="GZ20" i="1"/>
  <c r="GX20" i="1"/>
  <c r="GY20" i="1"/>
  <c r="GY24" i="1"/>
  <c r="GX24" i="1"/>
  <c r="GZ24" i="1"/>
  <c r="GZ36" i="1"/>
  <c r="GY36" i="1"/>
  <c r="GX36" i="1"/>
  <c r="GZ38" i="1"/>
  <c r="GY38" i="1"/>
  <c r="GX38" i="1"/>
  <c r="GZ45" i="1"/>
  <c r="GY45" i="1"/>
  <c r="GX45" i="1"/>
  <c r="GZ35" i="1"/>
  <c r="GY35" i="1"/>
  <c r="GX35" i="1"/>
  <c r="GY33" i="1"/>
  <c r="GZ33" i="1"/>
  <c r="GX33" i="1"/>
  <c r="GZ21" i="1"/>
  <c r="GY21" i="1"/>
  <c r="GX21" i="1"/>
  <c r="GZ39" i="1"/>
  <c r="GY39" i="1"/>
  <c r="GX39" i="1"/>
  <c r="GZ46" i="1"/>
  <c r="GY46" i="1"/>
  <c r="GX46" i="1"/>
  <c r="GZ28" i="1"/>
  <c r="GY28" i="1"/>
  <c r="GX28" i="1"/>
  <c r="GZ19" i="1"/>
  <c r="GY19" i="1"/>
  <c r="GX19" i="1"/>
  <c r="GZ34" i="1"/>
  <c r="GY34" i="1"/>
  <c r="GX34" i="1"/>
  <c r="GZ48" i="1"/>
  <c r="GY48" i="1"/>
  <c r="GX48" i="1"/>
  <c r="IZ28" i="1"/>
  <c r="GZ23" i="1"/>
  <c r="GY23" i="1"/>
  <c r="GX23" i="1"/>
  <c r="GZ22" i="1"/>
  <c r="GY22" i="1"/>
  <c r="GX22" i="1"/>
  <c r="GZ37" i="1"/>
  <c r="GX37" i="1"/>
  <c r="GY37" i="1"/>
  <c r="GZ27" i="1"/>
  <c r="GY27" i="1"/>
  <c r="GX27" i="1"/>
  <c r="GZ40" i="1"/>
  <c r="GY40" i="1"/>
  <c r="GX40" i="1"/>
  <c r="GZ31" i="1"/>
  <c r="GY31" i="1"/>
  <c r="GX31" i="1"/>
  <c r="GX32" i="1"/>
  <c r="GZ32" i="1"/>
  <c r="GY32" i="1"/>
  <c r="GZ42" i="1"/>
  <c r="GY42" i="1"/>
  <c r="GX42" i="1"/>
  <c r="GZ26" i="1"/>
  <c r="GY26" i="1"/>
  <c r="GX26" i="1"/>
  <c r="GZ25" i="1"/>
  <c r="GY25" i="1"/>
  <c r="GX25" i="1"/>
  <c r="GZ43" i="1"/>
  <c r="GY43" i="1"/>
  <c r="GX43" i="1"/>
  <c r="GY41" i="1"/>
  <c r="GZ41" i="1"/>
  <c r="GX41" i="1"/>
  <c r="GZ47" i="1"/>
  <c r="GY47" i="1"/>
  <c r="GX47" i="1"/>
  <c r="GX29" i="1"/>
  <c r="GZ29" i="1"/>
  <c r="GY29" i="1"/>
  <c r="GX44" i="1"/>
  <c r="GZ44" i="1"/>
  <c r="GY44" i="1"/>
  <c r="GZ30" i="1"/>
  <c r="GY30" i="1"/>
  <c r="GX30" i="1"/>
  <c r="IZ35" i="1"/>
  <c r="IZ30" i="1"/>
  <c r="IZ38" i="1"/>
  <c r="IZ47" i="1"/>
  <c r="IZ33" i="1"/>
  <c r="IZ32" i="1"/>
  <c r="IZ39" i="1"/>
  <c r="IZ46" i="1"/>
  <c r="IZ48" i="1"/>
  <c r="IZ45" i="1"/>
  <c r="IZ34" i="1"/>
  <c r="IZ37" i="1"/>
  <c r="IZ44" i="1"/>
  <c r="IZ42" i="1"/>
  <c r="IZ43" i="1"/>
  <c r="IZ41" i="1"/>
  <c r="IZ31" i="1"/>
  <c r="IZ36" i="1"/>
  <c r="UJ30" i="1"/>
  <c r="UJ34" i="1"/>
  <c r="UJ46" i="1"/>
  <c r="UJ22" i="1"/>
  <c r="UJ31" i="1"/>
  <c r="UJ47" i="1"/>
  <c r="UJ32" i="1"/>
  <c r="UJ21" i="1"/>
  <c r="UJ37" i="1"/>
  <c r="UJ26" i="1"/>
  <c r="UJ19" i="1"/>
  <c r="UJ35" i="1"/>
  <c r="UJ20" i="1"/>
  <c r="UJ36" i="1"/>
  <c r="UJ25" i="1"/>
  <c r="UJ41" i="1"/>
  <c r="UJ48" i="1"/>
  <c r="UJ23" i="1"/>
  <c r="UJ39" i="1"/>
  <c r="UJ24" i="1"/>
  <c r="UJ40" i="1"/>
  <c r="UJ29" i="1"/>
  <c r="UJ45" i="1"/>
  <c r="UJ28" i="1"/>
  <c r="UJ33" i="1"/>
  <c r="UJ38" i="1"/>
  <c r="UJ27" i="1"/>
  <c r="UJ43" i="1"/>
  <c r="UJ44" i="1"/>
  <c r="UJ42" i="1"/>
  <c r="UW35" i="1"/>
  <c r="UW48" i="1"/>
  <c r="UW27" i="1"/>
  <c r="UW31" i="1"/>
  <c r="UW47" i="1"/>
  <c r="UX47" i="1"/>
  <c r="BL64" i="18" s="1"/>
  <c r="UW41" i="1"/>
  <c r="UX41" i="1"/>
  <c r="BL58" i="18" s="1"/>
  <c r="UW43" i="1"/>
  <c r="UX43" i="1"/>
  <c r="BL60" i="18" s="1"/>
  <c r="UW37" i="1"/>
  <c r="UX37" i="1"/>
  <c r="BL54" i="18" s="1"/>
  <c r="UW39" i="1"/>
  <c r="UX39" i="1"/>
  <c r="BL56" i="18" s="1"/>
  <c r="UX27" i="1"/>
  <c r="BL44" i="18" s="1"/>
  <c r="HQ19" i="1" l="1"/>
  <c r="HR19" i="1" s="1"/>
  <c r="HN21" i="1"/>
  <c r="HR21" i="1" s="1"/>
  <c r="HN25" i="1"/>
  <c r="HR25" i="1" s="1"/>
  <c r="HN20" i="1"/>
  <c r="HN22" i="1"/>
  <c r="HL44" i="1"/>
  <c r="HL43" i="1"/>
  <c r="HL32" i="1"/>
  <c r="HL37" i="1"/>
  <c r="HL38" i="1"/>
  <c r="HL19" i="1"/>
  <c r="HL21" i="1"/>
  <c r="HL20" i="1"/>
  <c r="HR30" i="1"/>
  <c r="HL29" i="1"/>
  <c r="HL25" i="1"/>
  <c r="HL31" i="1"/>
  <c r="HL24" i="1"/>
  <c r="IE24" i="1" s="1"/>
  <c r="HL28" i="1"/>
  <c r="HL33" i="1"/>
  <c r="HL40" i="1"/>
  <c r="HL23" i="1"/>
  <c r="HL46" i="1"/>
  <c r="HL30" i="1"/>
  <c r="HL41" i="1"/>
  <c r="HL42" i="1"/>
  <c r="HQ35" i="1"/>
  <c r="HL39" i="1"/>
  <c r="HL36" i="1"/>
  <c r="IE36" i="1" s="1"/>
  <c r="IG44" i="1"/>
  <c r="IG41" i="1"/>
  <c r="HL22" i="1"/>
  <c r="HR40" i="1"/>
  <c r="IG40" i="1"/>
  <c r="IG48" i="1"/>
  <c r="HL47" i="1"/>
  <c r="HL26" i="1"/>
  <c r="HL48" i="1"/>
  <c r="HL45" i="1"/>
  <c r="HR47" i="1"/>
  <c r="HR41" i="1"/>
  <c r="HR43" i="1"/>
  <c r="IG43" i="1"/>
  <c r="IG26" i="1"/>
  <c r="HR26" i="1"/>
  <c r="IG42" i="1"/>
  <c r="IG23" i="1"/>
  <c r="HL27" i="1"/>
  <c r="HR42" i="1"/>
  <c r="HR45" i="1"/>
  <c r="IG34" i="1"/>
  <c r="HO29" i="1"/>
  <c r="HR29" i="1" s="1"/>
  <c r="IG47" i="1"/>
  <c r="IG31" i="1"/>
  <c r="IG27" i="1"/>
  <c r="HR46" i="1"/>
  <c r="IG45" i="1"/>
  <c r="HR38" i="1"/>
  <c r="HF34" i="1"/>
  <c r="IG30" i="1"/>
  <c r="IG29" i="1"/>
  <c r="HR31" i="1"/>
  <c r="HR27" i="1"/>
  <c r="HR22" i="1"/>
  <c r="HR23" i="1"/>
  <c r="HR48" i="1"/>
  <c r="HQ28" i="1"/>
  <c r="HR28" i="1" s="1"/>
  <c r="IG33" i="1"/>
  <c r="HR20" i="1"/>
  <c r="HN32" i="1"/>
  <c r="HR32" i="1" s="1"/>
  <c r="HR37" i="1"/>
  <c r="IG39" i="1"/>
  <c r="HN33" i="1"/>
  <c r="HR33" i="1" s="1"/>
  <c r="HQ24" i="1"/>
  <c r="HR24" i="1" s="1"/>
  <c r="HR44" i="1"/>
  <c r="IG32" i="1"/>
  <c r="IG37" i="1"/>
  <c r="IG46" i="1"/>
  <c r="HR39" i="1"/>
  <c r="IG38" i="1"/>
  <c r="HF36" i="1"/>
  <c r="HQ36" i="1"/>
  <c r="HD36" i="1"/>
  <c r="HN36" i="1"/>
  <c r="HL35" i="1"/>
  <c r="HD35" i="1"/>
  <c r="HE35" i="1"/>
  <c r="HN35" i="1"/>
  <c r="HR35" i="1" s="1"/>
  <c r="HL34" i="1"/>
  <c r="HE34" i="1"/>
  <c r="HR34" i="1"/>
  <c r="HF33" i="1"/>
  <c r="HE32" i="1"/>
  <c r="HF31" i="1"/>
  <c r="HE30" i="1"/>
  <c r="HB29" i="1"/>
  <c r="HA28" i="1"/>
  <c r="HB28" i="1"/>
  <c r="IZ25" i="1"/>
  <c r="AL10" i="18" s="1"/>
  <c r="IZ26" i="1"/>
  <c r="AL11" i="18" s="1"/>
  <c r="HA27" i="1"/>
  <c r="HB27" i="1"/>
  <c r="HD26" i="1"/>
  <c r="HE26" i="1" s="1"/>
  <c r="HF26" i="1" s="1"/>
  <c r="IQ26" i="1" s="1"/>
  <c r="IU26" i="1" s="1"/>
  <c r="HA25" i="1"/>
  <c r="HE25" i="1" s="1"/>
  <c r="HF25" i="1" s="1"/>
  <c r="HB24" i="1"/>
  <c r="HD24" i="1"/>
  <c r="HA23" i="1"/>
  <c r="HB23" i="1" s="1"/>
  <c r="IZ40" i="1"/>
  <c r="JC40" i="1" s="1"/>
  <c r="HA40" i="1"/>
  <c r="HC36" i="1"/>
  <c r="HF39" i="1"/>
  <c r="HE39" i="1"/>
  <c r="HE38" i="1"/>
  <c r="HD38" i="1"/>
  <c r="HD37" i="1"/>
  <c r="HC37" i="1"/>
  <c r="HB36" i="1"/>
  <c r="HB35" i="1"/>
  <c r="HA35" i="1"/>
  <c r="HD34" i="1"/>
  <c r="HB32" i="1"/>
  <c r="HC34" i="1"/>
  <c r="HC33" i="1"/>
  <c r="HB33" i="1"/>
  <c r="HA32" i="1"/>
  <c r="HA31" i="1"/>
  <c r="HB31" i="1"/>
  <c r="HB30" i="1"/>
  <c r="HC30" i="1"/>
  <c r="HC29" i="1"/>
  <c r="HD29" i="1"/>
  <c r="HE28" i="1"/>
  <c r="HD28" i="1"/>
  <c r="HF27" i="1"/>
  <c r="HE27" i="1"/>
  <c r="HA19" i="1"/>
  <c r="HA22" i="1"/>
  <c r="IZ20" i="1"/>
  <c r="JB20" i="1" s="1"/>
  <c r="HA20" i="1"/>
  <c r="JC44" i="1"/>
  <c r="JD44" i="1" s="1"/>
  <c r="JE44" i="1" s="1"/>
  <c r="JG44" i="1" s="1"/>
  <c r="JH44" i="1" s="1"/>
  <c r="AL26" i="18"/>
  <c r="AL16" i="18"/>
  <c r="AL15" i="18"/>
  <c r="HA21" i="1"/>
  <c r="IZ19" i="1"/>
  <c r="JC19" i="1" s="1"/>
  <c r="IZ21" i="1"/>
  <c r="JC21" i="1" s="1"/>
  <c r="IZ23" i="1"/>
  <c r="IZ24" i="1"/>
  <c r="IZ22" i="1"/>
  <c r="JB22" i="1" s="1"/>
  <c r="JC36" i="1"/>
  <c r="AL21" i="18"/>
  <c r="JC43" i="1"/>
  <c r="AL28" i="18"/>
  <c r="JC33" i="1"/>
  <c r="AL18" i="18"/>
  <c r="JC32" i="1"/>
  <c r="AL17" i="18"/>
  <c r="JB38" i="1"/>
  <c r="AL23" i="18"/>
  <c r="JB33" i="1"/>
  <c r="JB47" i="1"/>
  <c r="AL32" i="18"/>
  <c r="JB45" i="1"/>
  <c r="AL30" i="18"/>
  <c r="JC48" i="1"/>
  <c r="AL33" i="18"/>
  <c r="JC39" i="1"/>
  <c r="AL24" i="18"/>
  <c r="JC37" i="1"/>
  <c r="AL22" i="18"/>
  <c r="JB46" i="1"/>
  <c r="AL31" i="18"/>
  <c r="JC35" i="1"/>
  <c r="AL20" i="18"/>
  <c r="JC46" i="1"/>
  <c r="JD46" i="1" s="1"/>
  <c r="JE46" i="1" s="1"/>
  <c r="JG46" i="1" s="1"/>
  <c r="JH46" i="1" s="1"/>
  <c r="JC42" i="1"/>
  <c r="AL27" i="18"/>
  <c r="JB34" i="1"/>
  <c r="AL19" i="18"/>
  <c r="JB44" i="1"/>
  <c r="AL29" i="18"/>
  <c r="JC29" i="1"/>
  <c r="AL14" i="18"/>
  <c r="JB28" i="1"/>
  <c r="AL13" i="18"/>
  <c r="JB30" i="1"/>
  <c r="JC30" i="1"/>
  <c r="JC34" i="1"/>
  <c r="JB36" i="1"/>
  <c r="JC45" i="1"/>
  <c r="JD45" i="1" s="1"/>
  <c r="JE45" i="1" s="1"/>
  <c r="JG45" i="1" s="1"/>
  <c r="JH45" i="1" s="1"/>
  <c r="JC28" i="1"/>
  <c r="JB35" i="1"/>
  <c r="JB32" i="1"/>
  <c r="JC31" i="1"/>
  <c r="JB31" i="1"/>
  <c r="JC41" i="1"/>
  <c r="JB41" i="1"/>
  <c r="JC47" i="1"/>
  <c r="JD47" i="1" s="1"/>
  <c r="JE47" i="1" s="1"/>
  <c r="JG47" i="1" s="1"/>
  <c r="JH47" i="1" s="1"/>
  <c r="JB42" i="1"/>
  <c r="JB39" i="1"/>
  <c r="JB43" i="1"/>
  <c r="JB48" i="1"/>
  <c r="JC38" i="1"/>
  <c r="JB29" i="1"/>
  <c r="JB37" i="1"/>
  <c r="UO48" i="1"/>
  <c r="BJ65" i="18" s="1"/>
  <c r="UO47" i="1"/>
  <c r="BJ64" i="18" s="1"/>
  <c r="UO46" i="1"/>
  <c r="BJ63" i="18" s="1"/>
  <c r="UO45" i="1"/>
  <c r="BJ62" i="18" s="1"/>
  <c r="UO44" i="1"/>
  <c r="BJ61" i="18" s="1"/>
  <c r="UO43" i="1"/>
  <c r="BJ60" i="18" s="1"/>
  <c r="UO42" i="1"/>
  <c r="BJ59" i="18" s="1"/>
  <c r="UO41" i="1"/>
  <c r="BJ58" i="18" s="1"/>
  <c r="UO40" i="1"/>
  <c r="BJ57" i="18" s="1"/>
  <c r="UO39" i="1"/>
  <c r="BJ56" i="18" s="1"/>
  <c r="UO38" i="1"/>
  <c r="BJ55" i="18" s="1"/>
  <c r="UO37" i="1"/>
  <c r="BJ54" i="18" s="1"/>
  <c r="UO36" i="1"/>
  <c r="BJ53" i="18" s="1"/>
  <c r="UO35" i="1"/>
  <c r="BJ52" i="18" s="1"/>
  <c r="UO34" i="1"/>
  <c r="BJ51" i="18" s="1"/>
  <c r="UO33" i="1"/>
  <c r="BJ50" i="18" s="1"/>
  <c r="UO32" i="1"/>
  <c r="BJ49" i="18" s="1"/>
  <c r="UO31" i="1"/>
  <c r="BJ48" i="18" s="1"/>
  <c r="UO30" i="1"/>
  <c r="BJ47" i="18" s="1"/>
  <c r="UO29" i="1"/>
  <c r="BJ46" i="18" s="1"/>
  <c r="UO28" i="1"/>
  <c r="BJ45" i="18" s="1"/>
  <c r="UH14" i="1"/>
  <c r="IF19" i="1" l="1"/>
  <c r="IE19" i="1"/>
  <c r="IE21" i="1"/>
  <c r="IG21" i="1" s="1"/>
  <c r="IF21" i="1"/>
  <c r="IF22" i="1"/>
  <c r="IE22" i="1"/>
  <c r="IE20" i="1"/>
  <c r="IG20" i="1" s="1"/>
  <c r="IF20" i="1"/>
  <c r="IF25" i="1"/>
  <c r="IE25" i="1"/>
  <c r="JB26" i="1"/>
  <c r="JC26" i="1"/>
  <c r="JC25" i="1"/>
  <c r="JB25" i="1"/>
  <c r="IH43" i="1"/>
  <c r="IL43" i="1" s="1"/>
  <c r="IN43" i="1" s="1"/>
  <c r="IO43" i="1" s="1"/>
  <c r="IH48" i="1"/>
  <c r="IL48" i="1" s="1"/>
  <c r="IN48" i="1" s="1"/>
  <c r="IO48" i="1" s="1"/>
  <c r="IH42" i="1"/>
  <c r="IL42" i="1" s="1"/>
  <c r="IN42" i="1" s="1"/>
  <c r="IO42" i="1" s="1"/>
  <c r="IH41" i="1"/>
  <c r="IL41" i="1" s="1"/>
  <c r="IN41" i="1" s="1"/>
  <c r="IO41" i="1" s="1"/>
  <c r="IE28" i="1"/>
  <c r="IH45" i="1"/>
  <c r="IL45" i="1" s="1"/>
  <c r="IN45" i="1" s="1"/>
  <c r="IO45" i="1" s="1"/>
  <c r="IH47" i="1"/>
  <c r="IL47" i="1" s="1"/>
  <c r="IN47" i="1" s="1"/>
  <c r="IO47" i="1" s="1"/>
  <c r="IH44" i="1"/>
  <c r="IL44" i="1" s="1"/>
  <c r="IN44" i="1" s="1"/>
  <c r="IO44" i="1" s="1"/>
  <c r="IF24" i="1"/>
  <c r="IF28" i="1"/>
  <c r="AL25" i="18"/>
  <c r="HS44" i="1"/>
  <c r="HW44" i="1" s="1"/>
  <c r="HS42" i="1"/>
  <c r="HW42" i="1" s="1"/>
  <c r="HY42" i="1" s="1"/>
  <c r="HZ42" i="1" s="1"/>
  <c r="HS41" i="1"/>
  <c r="JB40" i="1"/>
  <c r="HS48" i="1"/>
  <c r="HS46" i="1"/>
  <c r="HW46" i="1" s="1"/>
  <c r="HY46" i="1" s="1"/>
  <c r="HZ46" i="1" s="1"/>
  <c r="HS47" i="1"/>
  <c r="HS45" i="1"/>
  <c r="HS43" i="1"/>
  <c r="IB24" i="1"/>
  <c r="IH46" i="1"/>
  <c r="IL46" i="1" s="1"/>
  <c r="IN46" i="1" s="1"/>
  <c r="IO46" i="1" s="1"/>
  <c r="HR36" i="1"/>
  <c r="IF36" i="1"/>
  <c r="IG36" i="1" s="1"/>
  <c r="IF35" i="1"/>
  <c r="IE35" i="1"/>
  <c r="IQ29" i="1"/>
  <c r="IU29" i="1" s="1"/>
  <c r="IV29" i="1" s="1"/>
  <c r="AV17" i="22" s="1"/>
  <c r="IQ34" i="1"/>
  <c r="IU34" i="1" s="1"/>
  <c r="IV34" i="1" s="1"/>
  <c r="AV22" i="22" s="1"/>
  <c r="IQ32" i="1"/>
  <c r="HY44" i="1"/>
  <c r="HZ44" i="1" s="1"/>
  <c r="IQ31" i="1"/>
  <c r="IU31" i="1" s="1"/>
  <c r="IV31" i="1" s="1"/>
  <c r="AV19" i="22" s="1"/>
  <c r="IQ38" i="1"/>
  <c r="IU38" i="1" s="1"/>
  <c r="IV38" i="1" s="1"/>
  <c r="AV26" i="22" s="1"/>
  <c r="IQ30" i="1"/>
  <c r="IU30" i="1" s="1"/>
  <c r="IV30" i="1" s="1"/>
  <c r="AV18" i="22" s="1"/>
  <c r="IQ36" i="1"/>
  <c r="IU36" i="1" s="1"/>
  <c r="IV36" i="1" s="1"/>
  <c r="AV24" i="22" s="1"/>
  <c r="IQ28" i="1"/>
  <c r="IU28" i="1" s="1"/>
  <c r="IV28" i="1" s="1"/>
  <c r="IQ33" i="1"/>
  <c r="IU33" i="1" s="1"/>
  <c r="IV33" i="1" s="1"/>
  <c r="IQ37" i="1"/>
  <c r="IU37" i="1" s="1"/>
  <c r="IV37" i="1" s="1"/>
  <c r="IQ39" i="1"/>
  <c r="IU39" i="1" s="1"/>
  <c r="IQ35" i="1"/>
  <c r="IU35" i="1" s="1"/>
  <c r="IV35" i="1" s="1"/>
  <c r="AV23" i="22" s="1"/>
  <c r="IQ27" i="1"/>
  <c r="IU27" i="1" s="1"/>
  <c r="IV27" i="1" s="1"/>
  <c r="IV26" i="1"/>
  <c r="AV14" i="22" s="1"/>
  <c r="IQ25" i="1"/>
  <c r="IU25" i="1" s="1"/>
  <c r="HG24" i="1"/>
  <c r="IQ24" i="1"/>
  <c r="IU24" i="1" s="1"/>
  <c r="IV24" i="1" s="1"/>
  <c r="AV12" i="22" s="1"/>
  <c r="JC20" i="1"/>
  <c r="AL5" i="18"/>
  <c r="HB40" i="1"/>
  <c r="IB27" i="1"/>
  <c r="IB28" i="1"/>
  <c r="IU32" i="1"/>
  <c r="IV32" i="1" s="1"/>
  <c r="HG26" i="1"/>
  <c r="IB26" i="1"/>
  <c r="HG29" i="1"/>
  <c r="IB29" i="1"/>
  <c r="HG30" i="1"/>
  <c r="IB30" i="1"/>
  <c r="HG31" i="1"/>
  <c r="IB31" i="1"/>
  <c r="HG25" i="1"/>
  <c r="IB25" i="1"/>
  <c r="HG33" i="1"/>
  <c r="IB33" i="1"/>
  <c r="HG34" i="1"/>
  <c r="IB34" i="1"/>
  <c r="HG32" i="1"/>
  <c r="IB32" i="1"/>
  <c r="HG39" i="1"/>
  <c r="IB39" i="1"/>
  <c r="IB38" i="1"/>
  <c r="HG38" i="1"/>
  <c r="IB37" i="1"/>
  <c r="HG37" i="1"/>
  <c r="HG36" i="1"/>
  <c r="IB36" i="1"/>
  <c r="IB35" i="1"/>
  <c r="HG35" i="1"/>
  <c r="HB20" i="1"/>
  <c r="HB19" i="1"/>
  <c r="HG27" i="1"/>
  <c r="HG28" i="1"/>
  <c r="HC23" i="1"/>
  <c r="HB22" i="1"/>
  <c r="HC22" i="1" s="1"/>
  <c r="AL7" i="18"/>
  <c r="JB24" i="1"/>
  <c r="AL8" i="18"/>
  <c r="HB21" i="1"/>
  <c r="JC22" i="1"/>
  <c r="AL6" i="18"/>
  <c r="JB19" i="1"/>
  <c r="JW47" i="1"/>
  <c r="AL64" i="18"/>
  <c r="JW45" i="1"/>
  <c r="AL62" i="18"/>
  <c r="JW46" i="1"/>
  <c r="AL63" i="18"/>
  <c r="JW44" i="1"/>
  <c r="AL61" i="18"/>
  <c r="AL4" i="18"/>
  <c r="JB23" i="1"/>
  <c r="JC23" i="1"/>
  <c r="JB21" i="1"/>
  <c r="JC24" i="1"/>
  <c r="AL9" i="18"/>
  <c r="JC27" i="1"/>
  <c r="AL12" i="18"/>
  <c r="JB27" i="1"/>
  <c r="UN33" i="1"/>
  <c r="UN37" i="1"/>
  <c r="UN41" i="1"/>
  <c r="UN45" i="1"/>
  <c r="UN30" i="1"/>
  <c r="UN34" i="1"/>
  <c r="UN38" i="1"/>
  <c r="UN42" i="1"/>
  <c r="UN46" i="1"/>
  <c r="UN29" i="1"/>
  <c r="UN31" i="1"/>
  <c r="UN35" i="1"/>
  <c r="UN39" i="1"/>
  <c r="UN43" i="1"/>
  <c r="UN47" i="1"/>
  <c r="UN28" i="1"/>
  <c r="UN32" i="1"/>
  <c r="UN36" i="1"/>
  <c r="UN40" i="1"/>
  <c r="UN44" i="1"/>
  <c r="UN48" i="1"/>
  <c r="VF12" i="1"/>
  <c r="UZ12" i="1"/>
  <c r="UB12" i="1"/>
  <c r="TV12" i="1"/>
  <c r="VF14" i="1"/>
  <c r="UZ14" i="1"/>
  <c r="UB14" i="1"/>
  <c r="VF13" i="1"/>
  <c r="UZ13" i="1"/>
  <c r="UB13" i="1"/>
  <c r="HW47" i="1" l="1"/>
  <c r="HY47" i="1" s="1"/>
  <c r="HZ47" i="1" s="1"/>
  <c r="HW41" i="1"/>
  <c r="HY41" i="1" s="1"/>
  <c r="HZ41" i="1" s="1"/>
  <c r="HW43" i="1"/>
  <c r="HY43" i="1" s="1"/>
  <c r="HZ43" i="1" s="1"/>
  <c r="HW48" i="1"/>
  <c r="HY48" i="1" s="1"/>
  <c r="HZ48" i="1" s="1"/>
  <c r="HW45" i="1"/>
  <c r="HY45" i="1" s="1"/>
  <c r="HZ45" i="1" s="1"/>
  <c r="IG19" i="1"/>
  <c r="IG22" i="1"/>
  <c r="IG25" i="1"/>
  <c r="IH25" i="1" s="1"/>
  <c r="IM45" i="1"/>
  <c r="AO33" i="22" s="1"/>
  <c r="IG28" i="1"/>
  <c r="IM42" i="1"/>
  <c r="AO30" i="22" s="1"/>
  <c r="IM43" i="1"/>
  <c r="AO31" i="22" s="1"/>
  <c r="IM41" i="1"/>
  <c r="AO29" i="22" s="1"/>
  <c r="IH36" i="1"/>
  <c r="IH32" i="1"/>
  <c r="IH33" i="1"/>
  <c r="IH31" i="1"/>
  <c r="IH29" i="1"/>
  <c r="IM44" i="1"/>
  <c r="AO32" i="22" s="1"/>
  <c r="IG24" i="1"/>
  <c r="IH24" i="1" s="1"/>
  <c r="IL24" i="1" s="1"/>
  <c r="IH38" i="1"/>
  <c r="IL38" i="1" s="1"/>
  <c r="IN38" i="1" s="1"/>
  <c r="IO38" i="1" s="1"/>
  <c r="IM48" i="1"/>
  <c r="AO36" i="22" s="1"/>
  <c r="IH39" i="1"/>
  <c r="IL39" i="1" s="1"/>
  <c r="IN39" i="1" s="1"/>
  <c r="IO39" i="1" s="1"/>
  <c r="IH34" i="1"/>
  <c r="IH30" i="1"/>
  <c r="IH26" i="1"/>
  <c r="IH27" i="1"/>
  <c r="IH37" i="1"/>
  <c r="IL37" i="1" s="1"/>
  <c r="IN37" i="1" s="1"/>
  <c r="IO37" i="1" s="1"/>
  <c r="IM47" i="1"/>
  <c r="AO35" i="22" s="1"/>
  <c r="IM46" i="1"/>
  <c r="AO34" i="22" s="1"/>
  <c r="HX45" i="1"/>
  <c r="AH33" i="22" s="1"/>
  <c r="HX43" i="1"/>
  <c r="AH31" i="22" s="1"/>
  <c r="HX48" i="1"/>
  <c r="AH36" i="22" s="1"/>
  <c r="HX46" i="1"/>
  <c r="AH34" i="22" s="1"/>
  <c r="HX47" i="1"/>
  <c r="AH35" i="22" s="1"/>
  <c r="HX44" i="1"/>
  <c r="AH32" i="22" s="1"/>
  <c r="HX41" i="1"/>
  <c r="AH29" i="22" s="1"/>
  <c r="HX42" i="1"/>
  <c r="AH30" i="22" s="1"/>
  <c r="HS38" i="1"/>
  <c r="HW38" i="1" s="1"/>
  <c r="HS36" i="1"/>
  <c r="HW36" i="1" s="1"/>
  <c r="HS32" i="1"/>
  <c r="HW32" i="1" s="1"/>
  <c r="HS34" i="1"/>
  <c r="HW34" i="1" s="1"/>
  <c r="HS25" i="1"/>
  <c r="HW25" i="1" s="1"/>
  <c r="HS30" i="1"/>
  <c r="HW30" i="1" s="1"/>
  <c r="HS26" i="1"/>
  <c r="HW26" i="1" s="1"/>
  <c r="HS28" i="1"/>
  <c r="HW28" i="1" s="1"/>
  <c r="HS35" i="1"/>
  <c r="HW35" i="1" s="1"/>
  <c r="HS37" i="1"/>
  <c r="HW37" i="1" s="1"/>
  <c r="HS27" i="1"/>
  <c r="HW27" i="1" s="1"/>
  <c r="HS39" i="1"/>
  <c r="HW39" i="1" s="1"/>
  <c r="HS33" i="1"/>
  <c r="HW33" i="1" s="1"/>
  <c r="HS31" i="1"/>
  <c r="HW31" i="1" s="1"/>
  <c r="HS29" i="1"/>
  <c r="HW29" i="1" s="1"/>
  <c r="HS24" i="1"/>
  <c r="HW24" i="1" s="1"/>
  <c r="IH28" i="1"/>
  <c r="IL28" i="1" s="1"/>
  <c r="IM28" i="1" s="1"/>
  <c r="AO16" i="22" s="1"/>
  <c r="IG35" i="1"/>
  <c r="IV39" i="1"/>
  <c r="AV27" i="22" s="1"/>
  <c r="IV25" i="1"/>
  <c r="AV13" i="22" s="1"/>
  <c r="HC20" i="1"/>
  <c r="HC19" i="1"/>
  <c r="HC40" i="1"/>
  <c r="HF23" i="1"/>
  <c r="HG23" i="1" s="1"/>
  <c r="AV20" i="22"/>
  <c r="AV16" i="22"/>
  <c r="AV21" i="22"/>
  <c r="AV25" i="22"/>
  <c r="AV15" i="22"/>
  <c r="HD22" i="1"/>
  <c r="HC21" i="1"/>
  <c r="HD21" i="1" s="1"/>
  <c r="TR23" i="1"/>
  <c r="TR24" i="1"/>
  <c r="TR25" i="1"/>
  <c r="TR26" i="1"/>
  <c r="TT26" i="1" s="1"/>
  <c r="BH43" i="18" s="1"/>
  <c r="TR27" i="1"/>
  <c r="TT27" i="1" s="1"/>
  <c r="BH44" i="18" s="1"/>
  <c r="TR28" i="1"/>
  <c r="TT28" i="1" s="1"/>
  <c r="BH45" i="18" s="1"/>
  <c r="TR29" i="1"/>
  <c r="TT29" i="1" s="1"/>
  <c r="BH46" i="18" s="1"/>
  <c r="TR30" i="1"/>
  <c r="TT30" i="1" s="1"/>
  <c r="BH47" i="18" s="1"/>
  <c r="TR31" i="1"/>
  <c r="TT31" i="1" s="1"/>
  <c r="BH48" i="18" s="1"/>
  <c r="TR32" i="1"/>
  <c r="TT32" i="1" s="1"/>
  <c r="BH49" i="18" s="1"/>
  <c r="TR33" i="1"/>
  <c r="TT33" i="1" s="1"/>
  <c r="BH50" i="18" s="1"/>
  <c r="TR34" i="1"/>
  <c r="TT34" i="1" s="1"/>
  <c r="BH51" i="18" s="1"/>
  <c r="TR35" i="1"/>
  <c r="TT35" i="1" s="1"/>
  <c r="BH52" i="18" s="1"/>
  <c r="TR36" i="1"/>
  <c r="TT36" i="1" s="1"/>
  <c r="BH53" i="18" s="1"/>
  <c r="TR37" i="1"/>
  <c r="TT37" i="1" s="1"/>
  <c r="BH54" i="18" s="1"/>
  <c r="TR38" i="1"/>
  <c r="TT38" i="1" s="1"/>
  <c r="BH55" i="18" s="1"/>
  <c r="TR39" i="1"/>
  <c r="TT39" i="1" s="1"/>
  <c r="BH56" i="18" s="1"/>
  <c r="TR40" i="1"/>
  <c r="TT40" i="1" s="1"/>
  <c r="BH57" i="18" s="1"/>
  <c r="TR41" i="1"/>
  <c r="TT41" i="1" s="1"/>
  <c r="BH58" i="18" s="1"/>
  <c r="TR42" i="1"/>
  <c r="TT42" i="1" s="1"/>
  <c r="BH59" i="18" s="1"/>
  <c r="TR43" i="1"/>
  <c r="TT43" i="1" s="1"/>
  <c r="BH60" i="18" s="1"/>
  <c r="TR44" i="1"/>
  <c r="TT44" i="1" s="1"/>
  <c r="BH61" i="18" s="1"/>
  <c r="TR45" i="1"/>
  <c r="TT45" i="1" s="1"/>
  <c r="BH62" i="18" s="1"/>
  <c r="TR46" i="1"/>
  <c r="TT46" i="1" s="1"/>
  <c r="BH63" i="18" s="1"/>
  <c r="TR47" i="1"/>
  <c r="TT47" i="1" s="1"/>
  <c r="BH64" i="18" s="1"/>
  <c r="TR48" i="1"/>
  <c r="TT48" i="1" s="1"/>
  <c r="BH65" i="18" s="1"/>
  <c r="NZ10" i="1"/>
  <c r="NP10" i="1"/>
  <c r="NF10" i="1"/>
  <c r="MV10" i="1"/>
  <c r="JJ10" i="1"/>
  <c r="GI11" i="1"/>
  <c r="GC11" i="1"/>
  <c r="FW11" i="1"/>
  <c r="FQ11" i="1"/>
  <c r="FK11" i="1"/>
  <c r="FE11" i="1"/>
  <c r="CI11" i="1"/>
  <c r="BY11" i="1"/>
  <c r="BO11" i="1"/>
  <c r="BE11" i="1"/>
  <c r="AU11" i="1"/>
  <c r="AK11" i="1"/>
  <c r="AA11" i="1"/>
  <c r="Q11" i="1"/>
  <c r="G11" i="1"/>
  <c r="ML10" i="1"/>
  <c r="LC10" i="1"/>
  <c r="KS10" i="1"/>
  <c r="KI10" i="1"/>
  <c r="TM10" i="1"/>
  <c r="AX17" i="4"/>
  <c r="S26" i="4" s="1"/>
  <c r="OJ3" i="1"/>
  <c r="OJ14" i="1" s="1"/>
  <c r="OC48" i="1"/>
  <c r="OD48" i="1" s="1"/>
  <c r="OE48" i="1" s="1"/>
  <c r="NS48" i="1"/>
  <c r="NT48" i="1" s="1"/>
  <c r="NU48" i="1" s="1"/>
  <c r="NI48" i="1"/>
  <c r="NJ48" i="1" s="1"/>
  <c r="NK48" i="1" s="1"/>
  <c r="MY48" i="1"/>
  <c r="MZ48" i="1" s="1"/>
  <c r="NA48" i="1" s="1"/>
  <c r="MO48" i="1"/>
  <c r="MP48" i="1" s="1"/>
  <c r="MQ48" i="1" s="1"/>
  <c r="OC47" i="1"/>
  <c r="OD47" i="1" s="1"/>
  <c r="OE47" i="1" s="1"/>
  <c r="NS47" i="1"/>
  <c r="NT47" i="1" s="1"/>
  <c r="NU47" i="1" s="1"/>
  <c r="NI47" i="1"/>
  <c r="NJ47" i="1" s="1"/>
  <c r="NK47" i="1" s="1"/>
  <c r="MY47" i="1"/>
  <c r="MZ47" i="1" s="1"/>
  <c r="NA47" i="1" s="1"/>
  <c r="MO47" i="1"/>
  <c r="MP47" i="1" s="1"/>
  <c r="MQ47" i="1" s="1"/>
  <c r="OC46" i="1"/>
  <c r="OD46" i="1" s="1"/>
  <c r="OE46" i="1" s="1"/>
  <c r="NS46" i="1"/>
  <c r="NT46" i="1" s="1"/>
  <c r="NU46" i="1" s="1"/>
  <c r="NI46" i="1"/>
  <c r="NJ46" i="1" s="1"/>
  <c r="NK46" i="1" s="1"/>
  <c r="MY46" i="1"/>
  <c r="MZ46" i="1" s="1"/>
  <c r="NA46" i="1" s="1"/>
  <c r="MO46" i="1"/>
  <c r="MP46" i="1" s="1"/>
  <c r="MQ46" i="1" s="1"/>
  <c r="OC45" i="1"/>
  <c r="OD45" i="1" s="1"/>
  <c r="OE45" i="1" s="1"/>
  <c r="NS45" i="1"/>
  <c r="NT45" i="1" s="1"/>
  <c r="NU45" i="1" s="1"/>
  <c r="NI45" i="1"/>
  <c r="NJ45" i="1" s="1"/>
  <c r="NK45" i="1" s="1"/>
  <c r="MY45" i="1"/>
  <c r="MZ45" i="1" s="1"/>
  <c r="NA45" i="1" s="1"/>
  <c r="MO45" i="1"/>
  <c r="MP45" i="1" s="1"/>
  <c r="MQ45" i="1" s="1"/>
  <c r="OC44" i="1"/>
  <c r="OD44" i="1" s="1"/>
  <c r="OE44" i="1" s="1"/>
  <c r="NS44" i="1"/>
  <c r="NT44" i="1" s="1"/>
  <c r="NU44" i="1" s="1"/>
  <c r="NI44" i="1"/>
  <c r="NJ44" i="1" s="1"/>
  <c r="NK44" i="1" s="1"/>
  <c r="MY44" i="1"/>
  <c r="MZ44" i="1" s="1"/>
  <c r="NA44" i="1" s="1"/>
  <c r="MO44" i="1"/>
  <c r="MP44" i="1" s="1"/>
  <c r="MQ44" i="1" s="1"/>
  <c r="OC43" i="1"/>
  <c r="OD43" i="1" s="1"/>
  <c r="OE43" i="1" s="1"/>
  <c r="NS43" i="1"/>
  <c r="NT43" i="1" s="1"/>
  <c r="NU43" i="1" s="1"/>
  <c r="NI43" i="1"/>
  <c r="NJ43" i="1" s="1"/>
  <c r="NK43" i="1" s="1"/>
  <c r="MY43" i="1"/>
  <c r="MZ43" i="1" s="1"/>
  <c r="NA43" i="1" s="1"/>
  <c r="MO43" i="1"/>
  <c r="MP43" i="1" s="1"/>
  <c r="MQ43" i="1" s="1"/>
  <c r="OC42" i="1"/>
  <c r="NS42" i="1"/>
  <c r="NI42" i="1"/>
  <c r="NJ42" i="1" s="1"/>
  <c r="NK42" i="1" s="1"/>
  <c r="MY42" i="1"/>
  <c r="MZ42" i="1" s="1"/>
  <c r="NA42" i="1" s="1"/>
  <c r="MO42" i="1"/>
  <c r="MP42" i="1" s="1"/>
  <c r="MQ42" i="1" s="1"/>
  <c r="OC41" i="1"/>
  <c r="OD41" i="1" s="1"/>
  <c r="OE41" i="1" s="1"/>
  <c r="NS41" i="1"/>
  <c r="NT41" i="1" s="1"/>
  <c r="NU41" i="1" s="1"/>
  <c r="NI41" i="1"/>
  <c r="NJ41" i="1" s="1"/>
  <c r="NK41" i="1" s="1"/>
  <c r="MY41" i="1"/>
  <c r="MZ41" i="1" s="1"/>
  <c r="NA41" i="1" s="1"/>
  <c r="MO41" i="1"/>
  <c r="MP41" i="1" s="1"/>
  <c r="MQ41" i="1" s="1"/>
  <c r="OC40" i="1"/>
  <c r="NS40" i="1"/>
  <c r="NI40" i="1"/>
  <c r="MY40" i="1"/>
  <c r="MZ40" i="1" s="1"/>
  <c r="NA40" i="1" s="1"/>
  <c r="MO40" i="1"/>
  <c r="MP40" i="1" s="1"/>
  <c r="MQ40" i="1" s="1"/>
  <c r="OC39" i="1"/>
  <c r="NS39" i="1"/>
  <c r="NT39" i="1" s="1"/>
  <c r="NU39" i="1" s="1"/>
  <c r="NI39" i="1"/>
  <c r="MY39" i="1"/>
  <c r="MZ39" i="1" s="1"/>
  <c r="NA39" i="1" s="1"/>
  <c r="MO39" i="1"/>
  <c r="MP39" i="1" s="1"/>
  <c r="MQ39" i="1" s="1"/>
  <c r="OC38" i="1"/>
  <c r="NS38" i="1"/>
  <c r="NT38" i="1" s="1"/>
  <c r="NU38" i="1" s="1"/>
  <c r="NI38" i="1"/>
  <c r="NJ38" i="1" s="1"/>
  <c r="NK38" i="1" s="1"/>
  <c r="MY38" i="1"/>
  <c r="MZ38" i="1" s="1"/>
  <c r="NA38" i="1" s="1"/>
  <c r="MO38" i="1"/>
  <c r="OC37" i="1"/>
  <c r="OD37" i="1" s="1"/>
  <c r="OE37" i="1" s="1"/>
  <c r="NS37" i="1"/>
  <c r="NI37" i="1"/>
  <c r="MY37" i="1"/>
  <c r="MZ37" i="1" s="1"/>
  <c r="NA37" i="1" s="1"/>
  <c r="MO37" i="1"/>
  <c r="MP37" i="1" s="1"/>
  <c r="MQ37" i="1" s="1"/>
  <c r="OC36" i="1"/>
  <c r="OD36" i="1" s="1"/>
  <c r="OE36" i="1" s="1"/>
  <c r="NS36" i="1"/>
  <c r="NT36" i="1" s="1"/>
  <c r="NU36" i="1" s="1"/>
  <c r="NI36" i="1"/>
  <c r="NJ36" i="1" s="1"/>
  <c r="NK36" i="1" s="1"/>
  <c r="MY36" i="1"/>
  <c r="MZ36" i="1" s="1"/>
  <c r="NA36" i="1" s="1"/>
  <c r="MO36" i="1"/>
  <c r="MP36" i="1" s="1"/>
  <c r="MQ36" i="1" s="1"/>
  <c r="OC35" i="1"/>
  <c r="OD35" i="1" s="1"/>
  <c r="OE35" i="1" s="1"/>
  <c r="NS35" i="1"/>
  <c r="NT35" i="1" s="1"/>
  <c r="NU35" i="1" s="1"/>
  <c r="NI35" i="1"/>
  <c r="NJ35" i="1" s="1"/>
  <c r="NK35" i="1" s="1"/>
  <c r="MY35" i="1"/>
  <c r="MZ35" i="1" s="1"/>
  <c r="NA35" i="1" s="1"/>
  <c r="MO35" i="1"/>
  <c r="MP35" i="1" s="1"/>
  <c r="MQ35" i="1" s="1"/>
  <c r="OC34" i="1"/>
  <c r="OD34" i="1" s="1"/>
  <c r="OE34" i="1" s="1"/>
  <c r="NS34" i="1"/>
  <c r="NT34" i="1" s="1"/>
  <c r="NU34" i="1" s="1"/>
  <c r="NI34" i="1"/>
  <c r="NJ34" i="1" s="1"/>
  <c r="NK34" i="1" s="1"/>
  <c r="MY34" i="1"/>
  <c r="MZ34" i="1" s="1"/>
  <c r="NA34" i="1" s="1"/>
  <c r="MO34" i="1"/>
  <c r="MP34" i="1" s="1"/>
  <c r="MQ34" i="1" s="1"/>
  <c r="OC33" i="1"/>
  <c r="OD33" i="1" s="1"/>
  <c r="OE33" i="1" s="1"/>
  <c r="NS33" i="1"/>
  <c r="NT33" i="1" s="1"/>
  <c r="NU33" i="1" s="1"/>
  <c r="NI33" i="1"/>
  <c r="NJ33" i="1" s="1"/>
  <c r="NK33" i="1" s="1"/>
  <c r="MY33" i="1"/>
  <c r="MZ33" i="1" s="1"/>
  <c r="NA33" i="1" s="1"/>
  <c r="MO33" i="1"/>
  <c r="MP33" i="1" s="1"/>
  <c r="MQ33" i="1" s="1"/>
  <c r="OC32" i="1"/>
  <c r="OD32" i="1" s="1"/>
  <c r="OE32" i="1" s="1"/>
  <c r="NS32" i="1"/>
  <c r="NT32" i="1" s="1"/>
  <c r="NU32" i="1" s="1"/>
  <c r="NI32" i="1"/>
  <c r="NJ32" i="1" s="1"/>
  <c r="NK32" i="1" s="1"/>
  <c r="MY32" i="1"/>
  <c r="MZ32" i="1" s="1"/>
  <c r="NA32" i="1" s="1"/>
  <c r="MO32" i="1"/>
  <c r="MP32" i="1" s="1"/>
  <c r="MQ32" i="1" s="1"/>
  <c r="OC31" i="1"/>
  <c r="OD31" i="1" s="1"/>
  <c r="OE31" i="1" s="1"/>
  <c r="NS31" i="1"/>
  <c r="NT31" i="1" s="1"/>
  <c r="NU31" i="1" s="1"/>
  <c r="NI31" i="1"/>
  <c r="NJ31" i="1" s="1"/>
  <c r="NK31" i="1" s="1"/>
  <c r="MY31" i="1"/>
  <c r="MZ31" i="1" s="1"/>
  <c r="NA31" i="1" s="1"/>
  <c r="MO31" i="1"/>
  <c r="MP31" i="1" s="1"/>
  <c r="MQ31" i="1" s="1"/>
  <c r="OC30" i="1"/>
  <c r="NS30" i="1"/>
  <c r="NT30" i="1" s="1"/>
  <c r="NU30" i="1" s="1"/>
  <c r="NI30" i="1"/>
  <c r="NJ30" i="1" s="1"/>
  <c r="NK30" i="1" s="1"/>
  <c r="MY30" i="1"/>
  <c r="MZ30" i="1" s="1"/>
  <c r="NA30" i="1" s="1"/>
  <c r="MO30" i="1"/>
  <c r="OC29" i="1"/>
  <c r="NS29" i="1"/>
  <c r="NI29" i="1"/>
  <c r="MY29" i="1"/>
  <c r="MZ29" i="1" s="1"/>
  <c r="NA29" i="1" s="1"/>
  <c r="MO29" i="1"/>
  <c r="MP29" i="1" s="1"/>
  <c r="MQ29" i="1" s="1"/>
  <c r="OC28" i="1"/>
  <c r="NS28" i="1"/>
  <c r="NI28" i="1"/>
  <c r="NJ28" i="1" s="1"/>
  <c r="NK28" i="1" s="1"/>
  <c r="MY28" i="1"/>
  <c r="MZ28" i="1" s="1"/>
  <c r="NA28" i="1" s="1"/>
  <c r="MO28" i="1"/>
  <c r="MP28" i="1" s="1"/>
  <c r="MQ28" i="1" s="1"/>
  <c r="OC27" i="1"/>
  <c r="NS27" i="1"/>
  <c r="NT27" i="1" s="1"/>
  <c r="NU27" i="1" s="1"/>
  <c r="NI27" i="1"/>
  <c r="NJ27" i="1" s="1"/>
  <c r="NK27" i="1" s="1"/>
  <c r="MY27" i="1"/>
  <c r="MZ27" i="1" s="1"/>
  <c r="NA27" i="1" s="1"/>
  <c r="MO27" i="1"/>
  <c r="MP27" i="1" s="1"/>
  <c r="MQ27" i="1" s="1"/>
  <c r="OC26" i="1"/>
  <c r="NS26" i="1"/>
  <c r="NT26" i="1" s="1"/>
  <c r="NU26" i="1" s="1"/>
  <c r="NI26" i="1"/>
  <c r="MY26" i="1"/>
  <c r="MO26" i="1"/>
  <c r="MP26" i="1" s="1"/>
  <c r="MQ26" i="1" s="1"/>
  <c r="OC25" i="1"/>
  <c r="NS25" i="1"/>
  <c r="NI25" i="1"/>
  <c r="MY25" i="1"/>
  <c r="MZ25" i="1" s="1"/>
  <c r="NA25" i="1" s="1"/>
  <c r="MO25" i="1"/>
  <c r="OC24" i="1"/>
  <c r="NS24" i="1"/>
  <c r="NT24" i="1" s="1"/>
  <c r="NU24" i="1" s="1"/>
  <c r="NI24" i="1"/>
  <c r="MY24" i="1"/>
  <c r="MO24" i="1"/>
  <c r="OC23" i="1"/>
  <c r="NS23" i="1"/>
  <c r="NI23" i="1"/>
  <c r="MY23" i="1"/>
  <c r="MO23" i="1"/>
  <c r="OC22" i="1"/>
  <c r="NS22" i="1"/>
  <c r="NI22" i="1"/>
  <c r="MY22" i="1"/>
  <c r="MO22" i="1"/>
  <c r="OC21" i="1"/>
  <c r="NS21" i="1"/>
  <c r="NI21" i="1"/>
  <c r="MY21" i="1"/>
  <c r="MO21" i="1"/>
  <c r="OC20" i="1"/>
  <c r="NS20" i="1"/>
  <c r="NI20" i="1"/>
  <c r="MY20" i="1"/>
  <c r="MO20" i="1"/>
  <c r="OC19" i="1"/>
  <c r="NS19" i="1"/>
  <c r="NI19" i="1"/>
  <c r="MY19" i="1"/>
  <c r="MO19" i="1"/>
  <c r="NZ14" i="1"/>
  <c r="NP14" i="1"/>
  <c r="NF14" i="1"/>
  <c r="MV14" i="1"/>
  <c r="ML14" i="1"/>
  <c r="ON3" i="1"/>
  <c r="OM3" i="1"/>
  <c r="OM14" i="1" s="1"/>
  <c r="OL3" i="1"/>
  <c r="OL14" i="1" s="1"/>
  <c r="OK3" i="1"/>
  <c r="OK14" i="1" s="1"/>
  <c r="OJ10" i="1"/>
  <c r="LO3" i="1"/>
  <c r="LO10" i="1" s="1"/>
  <c r="LN3" i="1"/>
  <c r="LN10" i="1" s="1"/>
  <c r="LM3" i="1"/>
  <c r="LM10" i="1" s="1"/>
  <c r="LF48" i="1"/>
  <c r="LF47" i="1"/>
  <c r="LF46" i="1"/>
  <c r="LF45" i="1"/>
  <c r="LF44" i="1"/>
  <c r="LF43" i="1"/>
  <c r="LF42" i="1"/>
  <c r="LF41" i="1"/>
  <c r="LF40" i="1"/>
  <c r="LF39" i="1"/>
  <c r="LF38" i="1"/>
  <c r="LF37" i="1"/>
  <c r="LF36" i="1"/>
  <c r="LF35" i="1"/>
  <c r="LF34" i="1"/>
  <c r="LF33" i="1"/>
  <c r="LF32" i="1"/>
  <c r="LF31" i="1"/>
  <c r="LF30" i="1"/>
  <c r="LF29" i="1"/>
  <c r="LF28" i="1"/>
  <c r="LF27" i="1"/>
  <c r="LF26" i="1"/>
  <c r="LF25" i="1"/>
  <c r="LF24" i="1"/>
  <c r="LF23" i="1"/>
  <c r="LF22" i="1"/>
  <c r="LF21" i="1"/>
  <c r="LF20" i="1"/>
  <c r="LF19" i="1"/>
  <c r="LC14" i="1"/>
  <c r="KV48" i="1"/>
  <c r="KW48" i="1" s="1"/>
  <c r="KX48" i="1" s="1"/>
  <c r="LN48" i="1" s="1"/>
  <c r="KV47" i="1"/>
  <c r="KW47" i="1" s="1"/>
  <c r="KX47" i="1" s="1"/>
  <c r="LN47" i="1" s="1"/>
  <c r="LS47" i="1" s="1"/>
  <c r="KV46" i="1"/>
  <c r="KW46" i="1" s="1"/>
  <c r="KX46" i="1" s="1"/>
  <c r="LN46" i="1" s="1"/>
  <c r="LS46" i="1" s="1"/>
  <c r="KV45" i="1"/>
  <c r="KW45" i="1" s="1"/>
  <c r="KX45" i="1" s="1"/>
  <c r="LN45" i="1" s="1"/>
  <c r="LS45" i="1" s="1"/>
  <c r="KV44" i="1"/>
  <c r="KW44" i="1" s="1"/>
  <c r="KX44" i="1" s="1"/>
  <c r="LN44" i="1" s="1"/>
  <c r="LS44" i="1" s="1"/>
  <c r="KV43" i="1"/>
  <c r="KV42" i="1"/>
  <c r="KW42" i="1" s="1"/>
  <c r="KX42" i="1" s="1"/>
  <c r="LN42" i="1" s="1"/>
  <c r="LS42" i="1" s="1"/>
  <c r="KV41" i="1"/>
  <c r="KV40" i="1"/>
  <c r="KW40" i="1" s="1"/>
  <c r="KX40" i="1" s="1"/>
  <c r="LN40" i="1" s="1"/>
  <c r="LS40" i="1" s="1"/>
  <c r="KV39" i="1"/>
  <c r="KW39" i="1" s="1"/>
  <c r="KX39" i="1" s="1"/>
  <c r="LN39" i="1" s="1"/>
  <c r="LS39" i="1" s="1"/>
  <c r="KV38" i="1"/>
  <c r="KW38" i="1" s="1"/>
  <c r="KX38" i="1" s="1"/>
  <c r="LN38" i="1" s="1"/>
  <c r="LS38" i="1" s="1"/>
  <c r="KV37" i="1"/>
  <c r="KW37" i="1" s="1"/>
  <c r="KX37" i="1" s="1"/>
  <c r="LN37" i="1" s="1"/>
  <c r="LS37" i="1" s="1"/>
  <c r="KV36" i="1"/>
  <c r="KW36" i="1" s="1"/>
  <c r="KX36" i="1" s="1"/>
  <c r="LN36" i="1" s="1"/>
  <c r="LS36" i="1" s="1"/>
  <c r="KV35" i="1"/>
  <c r="KW35" i="1" s="1"/>
  <c r="KX35" i="1" s="1"/>
  <c r="LN35" i="1" s="1"/>
  <c r="LS35" i="1" s="1"/>
  <c r="KV34" i="1"/>
  <c r="KV33" i="1"/>
  <c r="KV32" i="1"/>
  <c r="KW32" i="1" s="1"/>
  <c r="KX32" i="1" s="1"/>
  <c r="LN32" i="1" s="1"/>
  <c r="LS32" i="1" s="1"/>
  <c r="KV31" i="1"/>
  <c r="KW31" i="1" s="1"/>
  <c r="KX31" i="1" s="1"/>
  <c r="LN31" i="1" s="1"/>
  <c r="LS31" i="1" s="1"/>
  <c r="KV30" i="1"/>
  <c r="KV29" i="1"/>
  <c r="KW29" i="1" s="1"/>
  <c r="KX29" i="1" s="1"/>
  <c r="LN29" i="1" s="1"/>
  <c r="LS29" i="1" s="1"/>
  <c r="KV28" i="1"/>
  <c r="KV27" i="1"/>
  <c r="KV26" i="1"/>
  <c r="KV25" i="1"/>
  <c r="KV24" i="1"/>
  <c r="KV23" i="1"/>
  <c r="KV22" i="1"/>
  <c r="KV21" i="1"/>
  <c r="KV20" i="1"/>
  <c r="KV19" i="1"/>
  <c r="KS14" i="1"/>
  <c r="IM39" i="1" l="1"/>
  <c r="AO27" i="22" s="1"/>
  <c r="IM37" i="1"/>
  <c r="IB23" i="1"/>
  <c r="IH23" i="1" s="1"/>
  <c r="IL23" i="1" s="1"/>
  <c r="IM38" i="1"/>
  <c r="AO26" i="22" s="1"/>
  <c r="IL26" i="1"/>
  <c r="IL25" i="1"/>
  <c r="IL31" i="1"/>
  <c r="IL32" i="1"/>
  <c r="IL27" i="1"/>
  <c r="IL30" i="1"/>
  <c r="IL34" i="1"/>
  <c r="IL29" i="1"/>
  <c r="IL33" i="1"/>
  <c r="IL36" i="1"/>
  <c r="IM24" i="1"/>
  <c r="AO12" i="22" s="1"/>
  <c r="HS23" i="1"/>
  <c r="HW23" i="1" s="1"/>
  <c r="IH35" i="1"/>
  <c r="IL35" i="1" s="1"/>
  <c r="HY38" i="1"/>
  <c r="HZ38" i="1" s="1"/>
  <c r="HY37" i="1"/>
  <c r="HZ37" i="1" s="1"/>
  <c r="HY39" i="1"/>
  <c r="HZ39" i="1" s="1"/>
  <c r="HE21" i="1"/>
  <c r="HF21" i="1" s="1"/>
  <c r="IB21" i="1" s="1"/>
  <c r="IQ23" i="1"/>
  <c r="IU23" i="1" s="1"/>
  <c r="IV23" i="1" s="1"/>
  <c r="AV11" i="22" s="1"/>
  <c r="HD20" i="1"/>
  <c r="HE20" i="1" s="1"/>
  <c r="HF40" i="1"/>
  <c r="IB40" i="1" s="1"/>
  <c r="AO25" i="22"/>
  <c r="ON14" i="1"/>
  <c r="HE22" i="1"/>
  <c r="HF22" i="1" s="1"/>
  <c r="ON10" i="1"/>
  <c r="PW14" i="1" s="1"/>
  <c r="OZ14" i="1"/>
  <c r="OV14" i="1"/>
  <c r="OK10" i="1"/>
  <c r="OW14" i="1"/>
  <c r="OL10" i="1"/>
  <c r="OX14" i="1"/>
  <c r="OM10" i="1"/>
  <c r="OY14" i="1"/>
  <c r="JT11" i="1"/>
  <c r="LG35" i="1"/>
  <c r="LH35" i="1" s="1"/>
  <c r="LG39" i="1"/>
  <c r="LH39" i="1" s="1"/>
  <c r="LG47" i="1"/>
  <c r="LH47" i="1" s="1"/>
  <c r="LG32" i="1"/>
  <c r="LH32" i="1" s="1"/>
  <c r="LG36" i="1"/>
  <c r="LH36" i="1" s="1"/>
  <c r="LG44" i="1"/>
  <c r="LH44" i="1" s="1"/>
  <c r="LG29" i="1"/>
  <c r="LH29" i="1" s="1"/>
  <c r="LG37" i="1"/>
  <c r="LH37" i="1" s="1"/>
  <c r="LG45" i="1"/>
  <c r="LH45" i="1" s="1"/>
  <c r="LG30" i="1"/>
  <c r="LH30" i="1" s="1"/>
  <c r="LG34" i="1"/>
  <c r="LH34" i="1" s="1"/>
  <c r="LG38" i="1"/>
  <c r="LH38" i="1" s="1"/>
  <c r="LG42" i="1"/>
  <c r="LH42" i="1" s="1"/>
  <c r="LG46" i="1"/>
  <c r="LH46" i="1" s="1"/>
  <c r="KZ31" i="1"/>
  <c r="LA31" i="1" s="1"/>
  <c r="AR48" i="18" s="1"/>
  <c r="KZ35" i="1"/>
  <c r="LA35" i="1" s="1"/>
  <c r="AR52" i="18" s="1"/>
  <c r="KZ39" i="1"/>
  <c r="LA39" i="1" s="1"/>
  <c r="AR56" i="18" s="1"/>
  <c r="KZ47" i="1"/>
  <c r="LA47" i="1" s="1"/>
  <c r="AR64" i="18" s="1"/>
  <c r="NW24" i="1"/>
  <c r="NX24" i="1" s="1"/>
  <c r="BB41" i="18" s="1"/>
  <c r="MS27" i="1"/>
  <c r="MT27" i="1" s="1"/>
  <c r="NC30" i="1"/>
  <c r="ND30" i="1" s="1"/>
  <c r="MS31" i="1"/>
  <c r="MT31" i="1" s="1"/>
  <c r="OG31" i="1"/>
  <c r="OH31" i="1" s="1"/>
  <c r="NW32" i="1"/>
  <c r="NX32" i="1" s="1"/>
  <c r="NM33" i="1"/>
  <c r="NN33" i="1" s="1"/>
  <c r="NC34" i="1"/>
  <c r="ND34" i="1" s="1"/>
  <c r="MS35" i="1"/>
  <c r="MT35" i="1" s="1"/>
  <c r="OG35" i="1"/>
  <c r="OH35" i="1" s="1"/>
  <c r="NW36" i="1"/>
  <c r="NX36" i="1" s="1"/>
  <c r="BB53" i="18" s="1"/>
  <c r="NC38" i="1"/>
  <c r="ND38" i="1" s="1"/>
  <c r="MS39" i="1"/>
  <c r="MT39" i="1" s="1"/>
  <c r="NM41" i="1"/>
  <c r="NN41" i="1" s="1"/>
  <c r="NC42" i="1"/>
  <c r="ND42" i="1" s="1"/>
  <c r="MS43" i="1"/>
  <c r="MT43" i="1" s="1"/>
  <c r="OG43" i="1"/>
  <c r="OH43" i="1" s="1"/>
  <c r="NW44" i="1"/>
  <c r="NX44" i="1" s="1"/>
  <c r="NM45" i="1"/>
  <c r="NN45" i="1" s="1"/>
  <c r="NC46" i="1"/>
  <c r="ND46" i="1" s="1"/>
  <c r="MS47" i="1"/>
  <c r="MT47" i="1" s="1"/>
  <c r="OG47" i="1"/>
  <c r="OH47" i="1" s="1"/>
  <c r="NW48" i="1"/>
  <c r="NX48" i="1" s="1"/>
  <c r="KZ32" i="1"/>
  <c r="LA32" i="1" s="1"/>
  <c r="AR49" i="18" s="1"/>
  <c r="KZ36" i="1"/>
  <c r="LA36" i="1" s="1"/>
  <c r="AR53" i="18" s="1"/>
  <c r="KZ40" i="1"/>
  <c r="LA40" i="1" s="1"/>
  <c r="AR57" i="18" s="1"/>
  <c r="KZ44" i="1"/>
  <c r="LA44" i="1" s="1"/>
  <c r="AR61" i="18" s="1"/>
  <c r="KZ48" i="1"/>
  <c r="LA48" i="1" s="1"/>
  <c r="AR65" i="18" s="1"/>
  <c r="NC27" i="1"/>
  <c r="ND27" i="1" s="1"/>
  <c r="AX44" i="18" s="1"/>
  <c r="MS28" i="1"/>
  <c r="MT28" i="1" s="1"/>
  <c r="NM30" i="1"/>
  <c r="NN30" i="1" s="1"/>
  <c r="NC31" i="1"/>
  <c r="ND31" i="1" s="1"/>
  <c r="MS32" i="1"/>
  <c r="MT32" i="1" s="1"/>
  <c r="OG32" i="1"/>
  <c r="OH32" i="1" s="1"/>
  <c r="NW33" i="1"/>
  <c r="NX33" i="1" s="1"/>
  <c r="NM34" i="1"/>
  <c r="NN34" i="1" s="1"/>
  <c r="NC35" i="1"/>
  <c r="ND35" i="1" s="1"/>
  <c r="MS36" i="1"/>
  <c r="MT36" i="1" s="1"/>
  <c r="OG36" i="1"/>
  <c r="OH36" i="1" s="1"/>
  <c r="BD53" i="18" s="1"/>
  <c r="NM38" i="1"/>
  <c r="NN38" i="1" s="1"/>
  <c r="NC39" i="1"/>
  <c r="ND39" i="1" s="1"/>
  <c r="MS40" i="1"/>
  <c r="MT40" i="1" s="1"/>
  <c r="NW41" i="1"/>
  <c r="NX41" i="1" s="1"/>
  <c r="NM42" i="1"/>
  <c r="NN42" i="1" s="1"/>
  <c r="NC43" i="1"/>
  <c r="ND43" i="1" s="1"/>
  <c r="MS44" i="1"/>
  <c r="MT44" i="1" s="1"/>
  <c r="OG44" i="1"/>
  <c r="OH44" i="1" s="1"/>
  <c r="NW45" i="1"/>
  <c r="NX45" i="1" s="1"/>
  <c r="NM46" i="1"/>
  <c r="NN46" i="1" s="1"/>
  <c r="NC47" i="1"/>
  <c r="ND47" i="1" s="1"/>
  <c r="MS48" i="1"/>
  <c r="MT48" i="1" s="1"/>
  <c r="OG48" i="1"/>
  <c r="OH48" i="1" s="1"/>
  <c r="KZ29" i="1"/>
  <c r="LA29" i="1" s="1"/>
  <c r="AR46" i="18" s="1"/>
  <c r="KZ37" i="1"/>
  <c r="LA37" i="1" s="1"/>
  <c r="AR54" i="18" s="1"/>
  <c r="KZ45" i="1"/>
  <c r="LA45" i="1" s="1"/>
  <c r="AR62" i="18" s="1"/>
  <c r="NW26" i="1"/>
  <c r="NX26" i="1" s="1"/>
  <c r="NM27" i="1"/>
  <c r="NN27" i="1" s="1"/>
  <c r="AZ44" i="18" s="1"/>
  <c r="NC28" i="1"/>
  <c r="ND28" i="1" s="1"/>
  <c r="MS29" i="1"/>
  <c r="MT29" i="1" s="1"/>
  <c r="NW30" i="1"/>
  <c r="NX30" i="1" s="1"/>
  <c r="NM31" i="1"/>
  <c r="NN31" i="1" s="1"/>
  <c r="NC32" i="1"/>
  <c r="ND32" i="1" s="1"/>
  <c r="MS33" i="1"/>
  <c r="MT33" i="1" s="1"/>
  <c r="OG33" i="1"/>
  <c r="OH33" i="1" s="1"/>
  <c r="NW34" i="1"/>
  <c r="NX34" i="1" s="1"/>
  <c r="NM35" i="1"/>
  <c r="NN35" i="1" s="1"/>
  <c r="NC36" i="1"/>
  <c r="ND36" i="1" s="1"/>
  <c r="MS37" i="1"/>
  <c r="MT37" i="1" s="1"/>
  <c r="OG37" i="1"/>
  <c r="OH37" i="1" s="1"/>
  <c r="NW38" i="1"/>
  <c r="NX38" i="1" s="1"/>
  <c r="NC40" i="1"/>
  <c r="ND40" i="1" s="1"/>
  <c r="MS41" i="1"/>
  <c r="MT41" i="1" s="1"/>
  <c r="OG41" i="1"/>
  <c r="OH41" i="1" s="1"/>
  <c r="NM43" i="1"/>
  <c r="NN43" i="1" s="1"/>
  <c r="NC44" i="1"/>
  <c r="ND44" i="1" s="1"/>
  <c r="MS45" i="1"/>
  <c r="MT45" i="1" s="1"/>
  <c r="OG45" i="1"/>
  <c r="OH45" i="1" s="1"/>
  <c r="NW46" i="1"/>
  <c r="NX46" i="1" s="1"/>
  <c r="NM47" i="1"/>
  <c r="NN47" i="1" s="1"/>
  <c r="NC48" i="1"/>
  <c r="ND48" i="1" s="1"/>
  <c r="KZ38" i="1"/>
  <c r="LA38" i="1" s="1"/>
  <c r="AR55" i="18" s="1"/>
  <c r="KZ42" i="1"/>
  <c r="LA42" i="1" s="1"/>
  <c r="AR59" i="18" s="1"/>
  <c r="KZ46" i="1"/>
  <c r="LA46" i="1" s="1"/>
  <c r="AR63" i="18" s="1"/>
  <c r="NC25" i="1"/>
  <c r="ND25" i="1" s="1"/>
  <c r="MS26" i="1"/>
  <c r="MT26" i="1" s="1"/>
  <c r="NW27" i="1"/>
  <c r="NX27" i="1" s="1"/>
  <c r="NM28" i="1"/>
  <c r="NN28" i="1" s="1"/>
  <c r="NC29" i="1"/>
  <c r="ND29" i="1" s="1"/>
  <c r="NW31" i="1"/>
  <c r="NX31" i="1" s="1"/>
  <c r="NM32" i="1"/>
  <c r="NN32" i="1" s="1"/>
  <c r="NC33" i="1"/>
  <c r="ND33" i="1" s="1"/>
  <c r="MS34" i="1"/>
  <c r="MT34" i="1" s="1"/>
  <c r="OG34" i="1"/>
  <c r="OH34" i="1" s="1"/>
  <c r="NW35" i="1"/>
  <c r="NX35" i="1" s="1"/>
  <c r="NM36" i="1"/>
  <c r="NN36" i="1" s="1"/>
  <c r="NC37" i="1"/>
  <c r="ND37" i="1" s="1"/>
  <c r="NW39" i="1"/>
  <c r="NX39" i="1" s="1"/>
  <c r="NC41" i="1"/>
  <c r="ND41" i="1" s="1"/>
  <c r="MS42" i="1"/>
  <c r="MT42" i="1" s="1"/>
  <c r="NW43" i="1"/>
  <c r="NX43" i="1" s="1"/>
  <c r="NM44" i="1"/>
  <c r="NN44" i="1" s="1"/>
  <c r="NC45" i="1"/>
  <c r="ND45" i="1" s="1"/>
  <c r="MS46" i="1"/>
  <c r="MT46" i="1" s="1"/>
  <c r="OG46" i="1"/>
  <c r="OH46" i="1" s="1"/>
  <c r="NW47" i="1"/>
  <c r="NX47" i="1" s="1"/>
  <c r="NM48" i="1"/>
  <c r="NN48" i="1" s="1"/>
  <c r="KL48" i="1"/>
  <c r="KM48" i="1" s="1"/>
  <c r="KN48" i="1" s="1"/>
  <c r="LM48" i="1" s="1"/>
  <c r="KL47" i="1"/>
  <c r="KM47" i="1" s="1"/>
  <c r="KN47" i="1" s="1"/>
  <c r="LM47" i="1" s="1"/>
  <c r="LR47" i="1" s="1"/>
  <c r="KL46" i="1"/>
  <c r="KM46" i="1" s="1"/>
  <c r="KN46" i="1" s="1"/>
  <c r="LM46" i="1" s="1"/>
  <c r="LR46" i="1" s="1"/>
  <c r="KL45" i="1"/>
  <c r="KM45" i="1" s="1"/>
  <c r="KN45" i="1" s="1"/>
  <c r="LM45" i="1" s="1"/>
  <c r="LR45" i="1" s="1"/>
  <c r="KL44" i="1"/>
  <c r="KM44" i="1" s="1"/>
  <c r="KN44" i="1" s="1"/>
  <c r="LM44" i="1" s="1"/>
  <c r="LR44" i="1" s="1"/>
  <c r="KL43" i="1"/>
  <c r="KM43" i="1" s="1"/>
  <c r="KN43" i="1" s="1"/>
  <c r="LM43" i="1" s="1"/>
  <c r="LR43" i="1" s="1"/>
  <c r="KL42" i="1"/>
  <c r="KM42" i="1" s="1"/>
  <c r="KN42" i="1" s="1"/>
  <c r="LM42" i="1" s="1"/>
  <c r="LR42" i="1" s="1"/>
  <c r="KL41" i="1"/>
  <c r="KM41" i="1" s="1"/>
  <c r="KN41" i="1" s="1"/>
  <c r="LM41" i="1" s="1"/>
  <c r="LR41" i="1" s="1"/>
  <c r="KL40" i="1"/>
  <c r="KL39" i="1"/>
  <c r="KM39" i="1" s="1"/>
  <c r="KN39" i="1" s="1"/>
  <c r="LM39" i="1" s="1"/>
  <c r="LR39" i="1" s="1"/>
  <c r="KL38" i="1"/>
  <c r="KM38" i="1" s="1"/>
  <c r="KN38" i="1" s="1"/>
  <c r="LM38" i="1" s="1"/>
  <c r="LR38" i="1" s="1"/>
  <c r="KL37" i="1"/>
  <c r="KM37" i="1" s="1"/>
  <c r="KN37" i="1" s="1"/>
  <c r="LM37" i="1" s="1"/>
  <c r="LR37" i="1" s="1"/>
  <c r="KL36" i="1"/>
  <c r="KM36" i="1" s="1"/>
  <c r="KN36" i="1" s="1"/>
  <c r="LM36" i="1" s="1"/>
  <c r="LR36" i="1" s="1"/>
  <c r="KL35" i="1"/>
  <c r="KM35" i="1" s="1"/>
  <c r="KN35" i="1" s="1"/>
  <c r="LM35" i="1" s="1"/>
  <c r="LR35" i="1" s="1"/>
  <c r="KL34" i="1"/>
  <c r="KM34" i="1" s="1"/>
  <c r="KN34" i="1" s="1"/>
  <c r="LM34" i="1" s="1"/>
  <c r="LR34" i="1" s="1"/>
  <c r="KL33" i="1"/>
  <c r="KL32" i="1"/>
  <c r="KM32" i="1" s="1"/>
  <c r="KN32" i="1" s="1"/>
  <c r="LM32" i="1" s="1"/>
  <c r="LR32" i="1" s="1"/>
  <c r="KL31" i="1"/>
  <c r="KM31" i="1" s="1"/>
  <c r="KN31" i="1" s="1"/>
  <c r="LM31" i="1" s="1"/>
  <c r="LR31" i="1" s="1"/>
  <c r="KL30" i="1"/>
  <c r="KM30" i="1" s="1"/>
  <c r="KN30" i="1" s="1"/>
  <c r="LM30" i="1" s="1"/>
  <c r="LR30" i="1" s="1"/>
  <c r="KL29" i="1"/>
  <c r="KL28" i="1"/>
  <c r="KL27" i="1"/>
  <c r="KL26" i="1"/>
  <c r="KL25" i="1"/>
  <c r="KL24" i="1"/>
  <c r="KL23" i="1"/>
  <c r="KL22" i="1"/>
  <c r="KL21" i="1"/>
  <c r="KL20" i="1"/>
  <c r="KL19" i="1"/>
  <c r="KI14" i="1"/>
  <c r="QP14" i="1" l="1"/>
  <c r="RC14" i="1"/>
  <c r="IM36" i="1"/>
  <c r="AO24" i="22" s="1"/>
  <c r="IM30" i="1"/>
  <c r="AO18" i="22" s="1"/>
  <c r="IM25" i="1"/>
  <c r="AO13" i="22" s="1"/>
  <c r="IM33" i="1"/>
  <c r="AO21" i="22" s="1"/>
  <c r="IM27" i="1"/>
  <c r="AO15" i="22" s="1"/>
  <c r="IM26" i="1"/>
  <c r="AO14" i="22" s="1"/>
  <c r="IM29" i="1"/>
  <c r="AO17" i="22" s="1"/>
  <c r="IM32" i="1"/>
  <c r="AO20" i="22" s="1"/>
  <c r="IM34" i="1"/>
  <c r="AO22" i="22" s="1"/>
  <c r="IM31" i="1"/>
  <c r="AO19" i="22" s="1"/>
  <c r="IM23" i="1"/>
  <c r="AO11" i="22" s="1"/>
  <c r="IM35" i="1"/>
  <c r="AO23" i="22" s="1"/>
  <c r="HX25" i="1"/>
  <c r="AH13" i="22" s="1"/>
  <c r="HX24" i="1"/>
  <c r="AH12" i="22" s="1"/>
  <c r="IH40" i="1"/>
  <c r="IL40" i="1" s="1"/>
  <c r="IN40" i="1" s="1"/>
  <c r="IO40" i="1" s="1"/>
  <c r="IH21" i="1"/>
  <c r="IL21" i="1" s="1"/>
  <c r="HX29" i="1"/>
  <c r="AH17" i="22" s="1"/>
  <c r="HX28" i="1"/>
  <c r="AH16" i="22" s="1"/>
  <c r="HX34" i="1"/>
  <c r="AH22" i="22" s="1"/>
  <c r="HG40" i="1"/>
  <c r="HX27" i="1"/>
  <c r="AH15" i="22" s="1"/>
  <c r="HX31" i="1"/>
  <c r="AH19" i="22" s="1"/>
  <c r="HX26" i="1"/>
  <c r="AH14" i="22" s="1"/>
  <c r="HX32" i="1"/>
  <c r="AH20" i="22" s="1"/>
  <c r="HX30" i="1"/>
  <c r="AH18" i="22" s="1"/>
  <c r="HX33" i="1"/>
  <c r="AH21" i="22" s="1"/>
  <c r="HX35" i="1"/>
  <c r="AH23" i="22" s="1"/>
  <c r="HX39" i="1"/>
  <c r="AH27" i="22" s="1"/>
  <c r="HX37" i="1"/>
  <c r="AH25" i="22" s="1"/>
  <c r="HX38" i="1"/>
  <c r="AH26" i="22" s="1"/>
  <c r="HX36" i="1"/>
  <c r="AH24" i="22" s="1"/>
  <c r="IQ40" i="1"/>
  <c r="IU40" i="1" s="1"/>
  <c r="IV40" i="1" s="1"/>
  <c r="AV28" i="22" s="1"/>
  <c r="IQ22" i="1"/>
  <c r="IU22" i="1" s="1"/>
  <c r="HF20" i="1"/>
  <c r="IQ20" i="1" s="1"/>
  <c r="IU20" i="1" s="1"/>
  <c r="IV20" i="1" s="1"/>
  <c r="AV8" i="22" s="1"/>
  <c r="IQ21" i="1"/>
  <c r="IU21" i="1" s="1"/>
  <c r="IV21" i="1" s="1"/>
  <c r="AV9" i="22" s="1"/>
  <c r="HG21" i="1"/>
  <c r="HG22" i="1"/>
  <c r="IB22" i="1"/>
  <c r="ON41" i="1"/>
  <c r="OZ41" i="1" s="1"/>
  <c r="BD58" i="18"/>
  <c r="ON44" i="1"/>
  <c r="OZ44" i="1" s="1"/>
  <c r="BD61" i="18"/>
  <c r="ON35" i="1"/>
  <c r="OZ35" i="1" s="1"/>
  <c r="BD52" i="18"/>
  <c r="ON34" i="1"/>
  <c r="OZ34" i="1" s="1"/>
  <c r="BD51" i="18"/>
  <c r="ON37" i="1"/>
  <c r="OZ37" i="1" s="1"/>
  <c r="BD54" i="18"/>
  <c r="ON47" i="1"/>
  <c r="OZ47" i="1" s="1"/>
  <c r="BD64" i="18"/>
  <c r="ON31" i="1"/>
  <c r="OZ31" i="1" s="1"/>
  <c r="BD48" i="18"/>
  <c r="ON46" i="1"/>
  <c r="OZ46" i="1" s="1"/>
  <c r="BD63" i="18"/>
  <c r="ON33" i="1"/>
  <c r="OZ33" i="1" s="1"/>
  <c r="BD50" i="18"/>
  <c r="ON43" i="1"/>
  <c r="OZ43" i="1" s="1"/>
  <c r="BD60" i="18"/>
  <c r="ON45" i="1"/>
  <c r="OZ45" i="1" s="1"/>
  <c r="BD62" i="18"/>
  <c r="ON48" i="1"/>
  <c r="OZ48" i="1" s="1"/>
  <c r="BD65" i="18"/>
  <c r="ON32" i="1"/>
  <c r="OZ32" i="1" s="1"/>
  <c r="BD49" i="18"/>
  <c r="BB51" i="18"/>
  <c r="OM35" i="1"/>
  <c r="OY35" i="1" s="1"/>
  <c r="BB52" i="18"/>
  <c r="OM38" i="1"/>
  <c r="OY38" i="1" s="1"/>
  <c r="BB55" i="18"/>
  <c r="OM41" i="1"/>
  <c r="OY41" i="1" s="1"/>
  <c r="BB58" i="18"/>
  <c r="OM48" i="1"/>
  <c r="OY48" i="1" s="1"/>
  <c r="BB65" i="18"/>
  <c r="OM32" i="1"/>
  <c r="OY32" i="1" s="1"/>
  <c r="BB49" i="18"/>
  <c r="OM47" i="1"/>
  <c r="OY47" i="1" s="1"/>
  <c r="BB64" i="18"/>
  <c r="OM31" i="1"/>
  <c r="OY31" i="1" s="1"/>
  <c r="BB48" i="18"/>
  <c r="OM44" i="1"/>
  <c r="OY44" i="1" s="1"/>
  <c r="BB61" i="18"/>
  <c r="OM43" i="1"/>
  <c r="OY43" i="1" s="1"/>
  <c r="BB60" i="18"/>
  <c r="OM27" i="1"/>
  <c r="OY27" i="1" s="1"/>
  <c r="BB44" i="18"/>
  <c r="OM46" i="1"/>
  <c r="OY46" i="1" s="1"/>
  <c r="BB63" i="18"/>
  <c r="OM30" i="1"/>
  <c r="OY30" i="1" s="1"/>
  <c r="BB47" i="18"/>
  <c r="OM33" i="1"/>
  <c r="OY33" i="1" s="1"/>
  <c r="BB50" i="18"/>
  <c r="OM39" i="1"/>
  <c r="OY39" i="1" s="1"/>
  <c r="BB56" i="18"/>
  <c r="OM26" i="1"/>
  <c r="OY26" i="1" s="1"/>
  <c r="BB43" i="18"/>
  <c r="OM45" i="1"/>
  <c r="OY45" i="1" s="1"/>
  <c r="BB62" i="18"/>
  <c r="AZ49" i="18"/>
  <c r="OL48" i="1"/>
  <c r="OX48" i="1" s="1"/>
  <c r="AZ65" i="18"/>
  <c r="OL35" i="1"/>
  <c r="OX35" i="1" s="1"/>
  <c r="AZ52" i="18"/>
  <c r="OL38" i="1"/>
  <c r="OX38" i="1" s="1"/>
  <c r="AZ55" i="18"/>
  <c r="OL45" i="1"/>
  <c r="OX45" i="1" s="1"/>
  <c r="AZ62" i="18"/>
  <c r="OL44" i="1"/>
  <c r="OX44" i="1" s="1"/>
  <c r="AZ61" i="18"/>
  <c r="OL28" i="1"/>
  <c r="OX28" i="1" s="1"/>
  <c r="AZ45" i="18"/>
  <c r="OL47" i="1"/>
  <c r="OX47" i="1" s="1"/>
  <c r="AZ64" i="18"/>
  <c r="OL31" i="1"/>
  <c r="OX31" i="1" s="1"/>
  <c r="AZ48" i="18"/>
  <c r="OL34" i="1"/>
  <c r="OX34" i="1" s="1"/>
  <c r="AZ51" i="18"/>
  <c r="OL41" i="1"/>
  <c r="OX41" i="1" s="1"/>
  <c r="AZ58" i="18"/>
  <c r="OL43" i="1"/>
  <c r="OX43" i="1" s="1"/>
  <c r="AZ60" i="18"/>
  <c r="OL46" i="1"/>
  <c r="OX46" i="1" s="1"/>
  <c r="AZ63" i="18"/>
  <c r="OL30" i="1"/>
  <c r="OX30" i="1" s="1"/>
  <c r="AZ47" i="18"/>
  <c r="OL36" i="1"/>
  <c r="OX36" i="1" s="1"/>
  <c r="AZ53" i="18"/>
  <c r="OL42" i="1"/>
  <c r="OX42" i="1" s="1"/>
  <c r="AZ59" i="18"/>
  <c r="OL33" i="1"/>
  <c r="OX33" i="1" s="1"/>
  <c r="AZ50" i="18"/>
  <c r="AX48" i="18"/>
  <c r="AX51" i="18"/>
  <c r="AX46" i="18"/>
  <c r="AX45" i="18"/>
  <c r="AX49" i="18"/>
  <c r="OK45" i="1"/>
  <c r="OW45" i="1" s="1"/>
  <c r="AX62" i="18"/>
  <c r="OK48" i="1"/>
  <c r="OW48" i="1" s="1"/>
  <c r="AX65" i="18"/>
  <c r="OK35" i="1"/>
  <c r="OW35" i="1" s="1"/>
  <c r="AX52" i="18"/>
  <c r="OK42" i="1"/>
  <c r="OW42" i="1" s="1"/>
  <c r="AX59" i="18"/>
  <c r="OK41" i="1"/>
  <c r="OW41" i="1" s="1"/>
  <c r="AX58" i="18"/>
  <c r="OK25" i="1"/>
  <c r="OW25" i="1" s="1"/>
  <c r="AX42" i="18"/>
  <c r="OK44" i="1"/>
  <c r="OW44" i="1" s="1"/>
  <c r="AX61" i="18"/>
  <c r="OK47" i="1"/>
  <c r="OW47" i="1" s="1"/>
  <c r="AX64" i="18"/>
  <c r="OK38" i="1"/>
  <c r="OW38" i="1" s="1"/>
  <c r="AX55" i="18"/>
  <c r="OK37" i="1"/>
  <c r="OW37" i="1" s="1"/>
  <c r="AX54" i="18"/>
  <c r="OK40" i="1"/>
  <c r="OW40" i="1" s="1"/>
  <c r="AX57" i="18"/>
  <c r="OK43" i="1"/>
  <c r="OW43" i="1" s="1"/>
  <c r="AX60" i="18"/>
  <c r="OK33" i="1"/>
  <c r="OW33" i="1" s="1"/>
  <c r="AX50" i="18"/>
  <c r="OK36" i="1"/>
  <c r="OW36" i="1" s="1"/>
  <c r="AX53" i="18"/>
  <c r="OK39" i="1"/>
  <c r="OW39" i="1" s="1"/>
  <c r="AX56" i="18"/>
  <c r="OK46" i="1"/>
  <c r="OW46" i="1" s="1"/>
  <c r="AX63" i="18"/>
  <c r="OK30" i="1"/>
  <c r="OW30" i="1" s="1"/>
  <c r="AX47" i="18"/>
  <c r="AV48" i="18"/>
  <c r="AV43" i="18"/>
  <c r="AV44" i="18"/>
  <c r="AV46" i="18"/>
  <c r="AV49" i="18"/>
  <c r="AV52" i="18"/>
  <c r="OJ42" i="1"/>
  <c r="AV59" i="18"/>
  <c r="OJ45" i="1"/>
  <c r="AV62" i="18"/>
  <c r="OJ48" i="1"/>
  <c r="AV65" i="18"/>
  <c r="OJ39" i="1"/>
  <c r="AV56" i="18"/>
  <c r="OJ41" i="1"/>
  <c r="AV58" i="18"/>
  <c r="OJ44" i="1"/>
  <c r="AV61" i="18"/>
  <c r="OJ28" i="1"/>
  <c r="AV45" i="18"/>
  <c r="OJ34" i="1"/>
  <c r="AV51" i="18"/>
  <c r="OJ37" i="1"/>
  <c r="AV54" i="18"/>
  <c r="OJ40" i="1"/>
  <c r="AV57" i="18"/>
  <c r="OJ47" i="1"/>
  <c r="AV64" i="18"/>
  <c r="OJ46" i="1"/>
  <c r="AV63" i="18"/>
  <c r="OJ33" i="1"/>
  <c r="AV50" i="18"/>
  <c r="OJ36" i="1"/>
  <c r="AV53" i="18"/>
  <c r="OJ43" i="1"/>
  <c r="AV60" i="18"/>
  <c r="OM34" i="1"/>
  <c r="OY34" i="1" s="1"/>
  <c r="OJ35" i="1"/>
  <c r="OK34" i="1"/>
  <c r="OW34" i="1" s="1"/>
  <c r="OL32" i="1"/>
  <c r="OX32" i="1" s="1"/>
  <c r="OK32" i="1"/>
  <c r="OW32" i="1" s="1"/>
  <c r="OJ32" i="1"/>
  <c r="OK31" i="1"/>
  <c r="OW31" i="1" s="1"/>
  <c r="OJ31" i="1"/>
  <c r="OK29" i="1"/>
  <c r="OW29" i="1" s="1"/>
  <c r="OJ29" i="1"/>
  <c r="OK28" i="1"/>
  <c r="OW28" i="1" s="1"/>
  <c r="OJ26" i="1"/>
  <c r="LJ44" i="1"/>
  <c r="LK44" i="1" s="1"/>
  <c r="AT61" i="18" s="1"/>
  <c r="LO44" i="1"/>
  <c r="LT44" i="1" s="1"/>
  <c r="LU44" i="1" s="1"/>
  <c r="LJ35" i="1"/>
  <c r="LK35" i="1" s="1"/>
  <c r="AT52" i="18" s="1"/>
  <c r="LO35" i="1"/>
  <c r="LT35" i="1" s="1"/>
  <c r="LU35" i="1" s="1"/>
  <c r="LJ46" i="1"/>
  <c r="LK46" i="1" s="1"/>
  <c r="AT63" i="18" s="1"/>
  <c r="LO46" i="1"/>
  <c r="LT46" i="1" s="1"/>
  <c r="LU46" i="1" s="1"/>
  <c r="LJ30" i="1"/>
  <c r="LK30" i="1" s="1"/>
  <c r="AT47" i="18" s="1"/>
  <c r="LO30" i="1"/>
  <c r="LT30" i="1" s="1"/>
  <c r="LJ47" i="1"/>
  <c r="LK47" i="1" s="1"/>
  <c r="AT64" i="18" s="1"/>
  <c r="LO47" i="1"/>
  <c r="LT47" i="1" s="1"/>
  <c r="LU47" i="1" s="1"/>
  <c r="LJ42" i="1"/>
  <c r="LK42" i="1" s="1"/>
  <c r="AT59" i="18" s="1"/>
  <c r="LO42" i="1"/>
  <c r="LT42" i="1" s="1"/>
  <c r="LU42" i="1" s="1"/>
  <c r="LJ37" i="1"/>
  <c r="LK37" i="1" s="1"/>
  <c r="AT54" i="18" s="1"/>
  <c r="LO37" i="1"/>
  <c r="LT37" i="1" s="1"/>
  <c r="LU37" i="1" s="1"/>
  <c r="LJ36" i="1"/>
  <c r="LK36" i="1" s="1"/>
  <c r="AT53" i="18" s="1"/>
  <c r="LO36" i="1"/>
  <c r="LT36" i="1" s="1"/>
  <c r="LU36" i="1" s="1"/>
  <c r="LJ38" i="1"/>
  <c r="LK38" i="1" s="1"/>
  <c r="AT55" i="18" s="1"/>
  <c r="LO38" i="1"/>
  <c r="LT38" i="1" s="1"/>
  <c r="LU38" i="1" s="1"/>
  <c r="LJ32" i="1"/>
  <c r="LK32" i="1" s="1"/>
  <c r="AT49" i="18" s="1"/>
  <c r="LO32" i="1"/>
  <c r="LT32" i="1" s="1"/>
  <c r="LU32" i="1" s="1"/>
  <c r="LJ39" i="1"/>
  <c r="LK39" i="1" s="1"/>
  <c r="AT56" i="18" s="1"/>
  <c r="LO39" i="1"/>
  <c r="LT39" i="1" s="1"/>
  <c r="LU39" i="1" s="1"/>
  <c r="LJ34" i="1"/>
  <c r="LK34" i="1" s="1"/>
  <c r="AT51" i="18" s="1"/>
  <c r="LO34" i="1"/>
  <c r="LT34" i="1" s="1"/>
  <c r="LJ45" i="1"/>
  <c r="LK45" i="1" s="1"/>
  <c r="AT62" i="18" s="1"/>
  <c r="LO45" i="1"/>
  <c r="LT45" i="1" s="1"/>
  <c r="LU45" i="1" s="1"/>
  <c r="LJ29" i="1"/>
  <c r="LK29" i="1" s="1"/>
  <c r="AT46" i="18" s="1"/>
  <c r="LO29" i="1"/>
  <c r="LT29" i="1" s="1"/>
  <c r="OL27" i="1"/>
  <c r="OX27" i="1" s="1"/>
  <c r="OK27" i="1"/>
  <c r="OW27" i="1" s="1"/>
  <c r="OJ27" i="1"/>
  <c r="ON36" i="1"/>
  <c r="OZ36" i="1" s="1"/>
  <c r="OM36" i="1"/>
  <c r="OY36" i="1" s="1"/>
  <c r="OM24" i="1"/>
  <c r="OY24" i="1" s="1"/>
  <c r="KP36" i="1"/>
  <c r="KQ36" i="1" s="1"/>
  <c r="AP53" i="18" s="1"/>
  <c r="KP44" i="1"/>
  <c r="KQ44" i="1" s="1"/>
  <c r="AP61" i="18" s="1"/>
  <c r="KP37" i="1"/>
  <c r="KQ37" i="1" s="1"/>
  <c r="AP54" i="18" s="1"/>
  <c r="KP41" i="1"/>
  <c r="KQ41" i="1" s="1"/>
  <c r="AP58" i="18" s="1"/>
  <c r="KP45" i="1"/>
  <c r="KQ45" i="1" s="1"/>
  <c r="AP62" i="18" s="1"/>
  <c r="KP34" i="1"/>
  <c r="KQ34" i="1" s="1"/>
  <c r="AP51" i="18" s="1"/>
  <c r="KP42" i="1"/>
  <c r="KQ42" i="1" s="1"/>
  <c r="AP59" i="18" s="1"/>
  <c r="KP30" i="1"/>
  <c r="KQ30" i="1" s="1"/>
  <c r="AP47" i="18" s="1"/>
  <c r="KP38" i="1"/>
  <c r="KQ38" i="1" s="1"/>
  <c r="AP55" i="18" s="1"/>
  <c r="KP46" i="1"/>
  <c r="KQ46" i="1" s="1"/>
  <c r="AP63" i="18" s="1"/>
  <c r="KP31" i="1"/>
  <c r="KQ31" i="1" s="1"/>
  <c r="AP48" i="18" s="1"/>
  <c r="KP35" i="1"/>
  <c r="KQ35" i="1" s="1"/>
  <c r="AP52" i="18" s="1"/>
  <c r="KP39" i="1"/>
  <c r="KQ39" i="1" s="1"/>
  <c r="AP56" i="18" s="1"/>
  <c r="KP43" i="1"/>
  <c r="KQ43" i="1" s="1"/>
  <c r="AP60" i="18" s="1"/>
  <c r="KP47" i="1"/>
  <c r="KQ47" i="1" s="1"/>
  <c r="AP64" i="18" s="1"/>
  <c r="KP32" i="1"/>
  <c r="KQ32" i="1" s="1"/>
  <c r="AP49" i="18" s="1"/>
  <c r="KP48" i="1"/>
  <c r="KQ48" i="1" s="1"/>
  <c r="AP65" i="18" s="1"/>
  <c r="MA44" i="1"/>
  <c r="MA36" i="1"/>
  <c r="MA32" i="1"/>
  <c r="MA46" i="1"/>
  <c r="MA45" i="1"/>
  <c r="MA39" i="1"/>
  <c r="MA42" i="1"/>
  <c r="MA47" i="1"/>
  <c r="MA35" i="1"/>
  <c r="MA37" i="1"/>
  <c r="MA38" i="1"/>
  <c r="ME45" i="1" l="1"/>
  <c r="ME39" i="1"/>
  <c r="ME38" i="1"/>
  <c r="ME36" i="1"/>
  <c r="ME42" i="1"/>
  <c r="ME46" i="1"/>
  <c r="ME44" i="1"/>
  <c r="ME32" i="1"/>
  <c r="ME37" i="1"/>
  <c r="ME47" i="1"/>
  <c r="ME35" i="1"/>
  <c r="LV47" i="1"/>
  <c r="LV38" i="1"/>
  <c r="LV45" i="1"/>
  <c r="LV32" i="1"/>
  <c r="LV35" i="1"/>
  <c r="LV37" i="1"/>
  <c r="LV46" i="1"/>
  <c r="LV44" i="1"/>
  <c r="LV39" i="1"/>
  <c r="LV42" i="1"/>
  <c r="LV36" i="1"/>
  <c r="IM40" i="1"/>
  <c r="AO28" i="22" s="1"/>
  <c r="IM21" i="1"/>
  <c r="AO9" i="22" s="1"/>
  <c r="HS22" i="1"/>
  <c r="HW22" i="1" s="1"/>
  <c r="HS40" i="1"/>
  <c r="HS21" i="1"/>
  <c r="HW21" i="1" s="1"/>
  <c r="IH22" i="1"/>
  <c r="IL22" i="1" s="1"/>
  <c r="HX23" i="1"/>
  <c r="AH11" i="22" s="1"/>
  <c r="HW40" i="1" l="1"/>
  <c r="HY40" i="1" s="1"/>
  <c r="HZ40" i="1" s="1"/>
  <c r="LW39" i="1"/>
  <c r="MF39" i="1" s="1"/>
  <c r="MG39" i="1" s="1"/>
  <c r="LW35" i="1"/>
  <c r="MF35" i="1" s="1"/>
  <c r="MG35" i="1" s="1"/>
  <c r="LW47" i="1"/>
  <c r="MF47" i="1" s="1"/>
  <c r="MG47" i="1" s="1"/>
  <c r="LW44" i="1"/>
  <c r="MF44" i="1" s="1"/>
  <c r="MG44" i="1" s="1"/>
  <c r="LW32" i="1"/>
  <c r="MF32" i="1" s="1"/>
  <c r="MG32" i="1" s="1"/>
  <c r="LW46" i="1"/>
  <c r="MF46" i="1" s="1"/>
  <c r="MG46" i="1" s="1"/>
  <c r="LW45" i="1"/>
  <c r="MF45" i="1" s="1"/>
  <c r="MG45" i="1" s="1"/>
  <c r="LW36" i="1"/>
  <c r="MF36" i="1" s="1"/>
  <c r="MG36" i="1" s="1"/>
  <c r="LW42" i="1"/>
  <c r="MF42" i="1" s="1"/>
  <c r="MG42" i="1" s="1"/>
  <c r="LW37" i="1"/>
  <c r="MF37" i="1" s="1"/>
  <c r="MG37" i="1" s="1"/>
  <c r="LW38" i="1"/>
  <c r="MF38" i="1" s="1"/>
  <c r="MG38" i="1" s="1"/>
  <c r="IM22" i="1"/>
  <c r="AO10" i="22" s="1"/>
  <c r="HX40" i="1"/>
  <c r="AH28" i="22" s="1"/>
  <c r="HG20" i="1"/>
  <c r="IB20" i="1"/>
  <c r="IV22" i="1"/>
  <c r="AV10" i="22" s="1"/>
  <c r="OV31" i="1"/>
  <c r="OV29" i="1"/>
  <c r="OV43" i="1"/>
  <c r="OV33" i="1"/>
  <c r="OV47" i="1"/>
  <c r="OV37" i="1"/>
  <c r="OV28" i="1"/>
  <c r="OV39" i="1"/>
  <c r="OV45" i="1"/>
  <c r="OV27" i="1"/>
  <c r="OV32" i="1"/>
  <c r="OV35" i="1"/>
  <c r="OV26" i="1"/>
  <c r="OV36" i="1"/>
  <c r="OV46" i="1"/>
  <c r="OV40" i="1"/>
  <c r="OV34" i="1"/>
  <c r="OV44" i="1"/>
  <c r="OV41" i="1"/>
  <c r="OV48" i="1"/>
  <c r="OV42" i="1"/>
  <c r="LS48" i="1"/>
  <c r="LR48" i="1"/>
  <c r="LP45" i="1"/>
  <c r="LP32" i="1"/>
  <c r="LP36" i="1"/>
  <c r="LP35" i="1"/>
  <c r="LP44" i="1"/>
  <c r="LP39" i="1"/>
  <c r="LP42" i="1"/>
  <c r="LP47" i="1"/>
  <c r="LP38" i="1"/>
  <c r="LP37" i="1"/>
  <c r="LP46" i="1"/>
  <c r="OP44" i="1"/>
  <c r="OO41" i="1"/>
  <c r="OO46" i="1"/>
  <c r="OP41" i="1"/>
  <c r="OP48" i="1"/>
  <c r="OP46" i="1"/>
  <c r="OO44" i="1"/>
  <c r="OO48" i="1"/>
  <c r="OP33" i="1"/>
  <c r="OP43" i="1"/>
  <c r="OP47" i="1"/>
  <c r="OO45" i="1"/>
  <c r="OP45" i="1"/>
  <c r="OO43" i="1"/>
  <c r="OO47" i="1"/>
  <c r="OO33" i="1"/>
  <c r="OP35" i="1"/>
  <c r="OO35" i="1"/>
  <c r="OO34" i="1"/>
  <c r="OP34" i="1"/>
  <c r="OO31" i="1"/>
  <c r="OP32" i="1"/>
  <c r="OO32" i="1"/>
  <c r="OP31" i="1"/>
  <c r="LQ36" i="1"/>
  <c r="LQ35" i="1"/>
  <c r="LQ46" i="1"/>
  <c r="LQ32" i="1"/>
  <c r="LQ47" i="1"/>
  <c r="LQ42" i="1"/>
  <c r="LQ45" i="1"/>
  <c r="LQ44" i="1"/>
  <c r="LQ38" i="1"/>
  <c r="LQ37" i="1"/>
  <c r="LQ39" i="1"/>
  <c r="OO36" i="1"/>
  <c r="OP36" i="1"/>
  <c r="JM48" i="1"/>
  <c r="JM47" i="1"/>
  <c r="JM46" i="1"/>
  <c r="JM45" i="1"/>
  <c r="JM44" i="1"/>
  <c r="JM43" i="1"/>
  <c r="JM42" i="1"/>
  <c r="JM41" i="1"/>
  <c r="JM40" i="1"/>
  <c r="JM39" i="1"/>
  <c r="JM38" i="1"/>
  <c r="JM37" i="1"/>
  <c r="JM36" i="1"/>
  <c r="JM35" i="1"/>
  <c r="JM34" i="1"/>
  <c r="JM33" i="1"/>
  <c r="JM32" i="1"/>
  <c r="JM31" i="1"/>
  <c r="JM30" i="1"/>
  <c r="JM29" i="1"/>
  <c r="JM28" i="1"/>
  <c r="JM27" i="1"/>
  <c r="JM26" i="1"/>
  <c r="JM25" i="1"/>
  <c r="JM24" i="1"/>
  <c r="JM23" i="1"/>
  <c r="JM22" i="1"/>
  <c r="JM21" i="1"/>
  <c r="JM20" i="1"/>
  <c r="JM19" i="1"/>
  <c r="JJ14" i="1"/>
  <c r="FE10" i="1"/>
  <c r="MH44" i="1"/>
  <c r="MH39" i="1"/>
  <c r="MH35" i="1"/>
  <c r="MH32" i="1"/>
  <c r="MH36" i="1"/>
  <c r="MH46" i="1"/>
  <c r="MH38" i="1"/>
  <c r="MH42" i="1"/>
  <c r="MH45" i="1"/>
  <c r="MH47" i="1"/>
  <c r="MH37" i="1"/>
  <c r="LX37" i="1" l="1"/>
  <c r="LZ37" i="1" s="1"/>
  <c r="LX44" i="1"/>
  <c r="LZ44" i="1" s="1"/>
  <c r="LX47" i="1"/>
  <c r="LZ47" i="1" s="1"/>
  <c r="LX36" i="1"/>
  <c r="LZ36" i="1" s="1"/>
  <c r="LY36" i="1"/>
  <c r="BG24" i="22" s="1"/>
  <c r="LY44" i="1"/>
  <c r="BG32" i="22" s="1"/>
  <c r="LY38" i="1"/>
  <c r="BG26" i="22" s="1"/>
  <c r="LY45" i="1"/>
  <c r="BG33" i="22" s="1"/>
  <c r="LY47" i="1"/>
  <c r="BG35" i="22" s="1"/>
  <c r="LY37" i="1"/>
  <c r="BG25" i="22" s="1"/>
  <c r="LY46" i="1"/>
  <c r="BG34" i="22" s="1"/>
  <c r="LY35" i="1"/>
  <c r="BG23" i="22" s="1"/>
  <c r="LY42" i="1"/>
  <c r="BG30" i="22" s="1"/>
  <c r="LY32" i="1"/>
  <c r="BG20" i="22" s="1"/>
  <c r="LY39" i="1"/>
  <c r="BG27" i="22" s="1"/>
  <c r="LX39" i="1"/>
  <c r="LZ39" i="1" s="1"/>
  <c r="LX45" i="1"/>
  <c r="LZ45" i="1" s="1"/>
  <c r="MC37" i="1"/>
  <c r="MC36" i="1"/>
  <c r="MC46" i="1"/>
  <c r="MC44" i="1"/>
  <c r="MC35" i="1"/>
  <c r="MC38" i="1"/>
  <c r="MC42" i="1"/>
  <c r="MC45" i="1"/>
  <c r="MC32" i="1"/>
  <c r="MC47" i="1"/>
  <c r="MC39" i="1"/>
  <c r="LX35" i="1"/>
  <c r="LZ35" i="1" s="1"/>
  <c r="LX42" i="1"/>
  <c r="LZ42" i="1" s="1"/>
  <c r="LX32" i="1"/>
  <c r="LZ32" i="1" s="1"/>
  <c r="LX38" i="1"/>
  <c r="LZ38" i="1" s="1"/>
  <c r="LX46" i="1"/>
  <c r="LZ46" i="1" s="1"/>
  <c r="PB48" i="1"/>
  <c r="PB33" i="1"/>
  <c r="PB36" i="1"/>
  <c r="PB43" i="1"/>
  <c r="PB35" i="1"/>
  <c r="PB32" i="1"/>
  <c r="PB34" i="1"/>
  <c r="PB41" i="1"/>
  <c r="PB31" i="1"/>
  <c r="PB44" i="1"/>
  <c r="PB47" i="1"/>
  <c r="PB45" i="1"/>
  <c r="PB46" i="1"/>
  <c r="CZ35" i="22"/>
  <c r="CZ34" i="22"/>
  <c r="CZ20" i="22"/>
  <c r="CZ22" i="22"/>
  <c r="CZ31" i="22"/>
  <c r="CZ29" i="22"/>
  <c r="CZ21" i="22"/>
  <c r="CZ33" i="22"/>
  <c r="CZ24" i="22"/>
  <c r="CZ23" i="22"/>
  <c r="CZ36" i="22"/>
  <c r="CZ19" i="22"/>
  <c r="CZ32" i="22"/>
  <c r="HS20" i="1"/>
  <c r="HW20" i="1" s="1"/>
  <c r="IH20" i="1"/>
  <c r="IL20" i="1" s="1"/>
  <c r="IM20" i="1" s="1"/>
  <c r="AO8" i="22" s="1"/>
  <c r="HX22" i="1"/>
  <c r="AH10" i="22" s="1"/>
  <c r="HX21" i="1"/>
  <c r="AH9" i="22" s="1"/>
  <c r="QS44" i="1"/>
  <c r="QS36" i="1"/>
  <c r="QS33" i="1"/>
  <c r="QS34" i="1"/>
  <c r="QS45" i="1"/>
  <c r="QS43" i="1"/>
  <c r="QS48" i="1"/>
  <c r="QS35" i="1"/>
  <c r="QS41" i="1"/>
  <c r="QS46" i="1"/>
  <c r="QS32" i="1"/>
  <c r="QS47" i="1"/>
  <c r="QS31" i="1"/>
  <c r="PA34" i="1"/>
  <c r="PZ34" i="1"/>
  <c r="PZ33" i="1"/>
  <c r="PZ48" i="1"/>
  <c r="PZ45" i="1"/>
  <c r="PZ43" i="1"/>
  <c r="PZ41" i="1"/>
  <c r="PZ46" i="1"/>
  <c r="PA35" i="1"/>
  <c r="PZ35" i="1"/>
  <c r="PZ44" i="1"/>
  <c r="PZ36" i="1"/>
  <c r="PZ32" i="1"/>
  <c r="PZ47" i="1"/>
  <c r="PA31" i="1"/>
  <c r="PZ31" i="1"/>
  <c r="PA43" i="1"/>
  <c r="PA41" i="1"/>
  <c r="PA33" i="1"/>
  <c r="PA36" i="1"/>
  <c r="PA48" i="1"/>
  <c r="PA47" i="1"/>
  <c r="PA44" i="1"/>
  <c r="PA46" i="1"/>
  <c r="PA32" i="1"/>
  <c r="PA45" i="1"/>
  <c r="MJ32" i="1"/>
  <c r="SB32" i="1" s="1"/>
  <c r="SF32" i="1" s="1"/>
  <c r="MJ36" i="1"/>
  <c r="SB36" i="1" s="1"/>
  <c r="SF36" i="1" s="1"/>
  <c r="MJ39" i="1"/>
  <c r="SB39" i="1" s="1"/>
  <c r="SF39" i="1" s="1"/>
  <c r="MJ42" i="1"/>
  <c r="SB42" i="1" s="1"/>
  <c r="SF42" i="1" s="1"/>
  <c r="MJ47" i="1"/>
  <c r="SB47" i="1" s="1"/>
  <c r="SF47" i="1" s="1"/>
  <c r="OQ41" i="1"/>
  <c r="OQ45" i="1"/>
  <c r="OQ48" i="1"/>
  <c r="OQ44" i="1"/>
  <c r="OQ33" i="1"/>
  <c r="OQ46" i="1"/>
  <c r="OQ47" i="1"/>
  <c r="OQ43" i="1"/>
  <c r="OQ35" i="1"/>
  <c r="OQ34" i="1"/>
  <c r="OQ32" i="1"/>
  <c r="OQ31" i="1"/>
  <c r="OQ36" i="1"/>
  <c r="MJ37" i="1"/>
  <c r="SB37" i="1" s="1"/>
  <c r="SF37" i="1" s="1"/>
  <c r="MJ44" i="1"/>
  <c r="SB44" i="1" s="1"/>
  <c r="SF44" i="1" s="1"/>
  <c r="MJ46" i="1"/>
  <c r="SB46" i="1" s="1"/>
  <c r="SF46" i="1" s="1"/>
  <c r="MJ45" i="1"/>
  <c r="SB45" i="1" s="1"/>
  <c r="SF45" i="1" s="1"/>
  <c r="MJ35" i="1"/>
  <c r="SB35" i="1" s="1"/>
  <c r="SF35" i="1" s="1"/>
  <c r="MJ38" i="1"/>
  <c r="SB38" i="1" s="1"/>
  <c r="SF38" i="1" s="1"/>
  <c r="JN29" i="1"/>
  <c r="JO29" i="1" s="1"/>
  <c r="JT29" i="1" s="1"/>
  <c r="JU29" i="1" s="1"/>
  <c r="JN37" i="1"/>
  <c r="JO37" i="1" s="1"/>
  <c r="JT37" i="1" s="1"/>
  <c r="JU37" i="1" s="1"/>
  <c r="JN27" i="1"/>
  <c r="JO27" i="1" s="1"/>
  <c r="JT27" i="1" s="1"/>
  <c r="JU27" i="1" s="1"/>
  <c r="JN31" i="1"/>
  <c r="JO31" i="1" s="1"/>
  <c r="JT31" i="1" s="1"/>
  <c r="JU31" i="1" s="1"/>
  <c r="JN35" i="1"/>
  <c r="JO35" i="1" s="1"/>
  <c r="JT35" i="1" s="1"/>
  <c r="JU35" i="1" s="1"/>
  <c r="JN39" i="1"/>
  <c r="JO39" i="1" s="1"/>
  <c r="JT39" i="1" s="1"/>
  <c r="JU39" i="1" s="1"/>
  <c r="JN43" i="1"/>
  <c r="JO43" i="1" s="1"/>
  <c r="JT43" i="1" s="1"/>
  <c r="JU43" i="1" s="1"/>
  <c r="JN47" i="1"/>
  <c r="JO47" i="1" s="1"/>
  <c r="JT47" i="1" s="1"/>
  <c r="JU47" i="1" s="1"/>
  <c r="JN33" i="1"/>
  <c r="JO33" i="1" s="1"/>
  <c r="JT33" i="1" s="1"/>
  <c r="JU33" i="1" s="1"/>
  <c r="JN41" i="1"/>
  <c r="JO41" i="1" s="1"/>
  <c r="JT41" i="1" s="1"/>
  <c r="JU41" i="1" s="1"/>
  <c r="JN45" i="1"/>
  <c r="JO45" i="1" s="1"/>
  <c r="JT45" i="1" s="1"/>
  <c r="JU45" i="1" s="1"/>
  <c r="JN28" i="1"/>
  <c r="JO28" i="1" s="1"/>
  <c r="JT28" i="1" s="1"/>
  <c r="JU28" i="1" s="1"/>
  <c r="JN32" i="1"/>
  <c r="JO32" i="1" s="1"/>
  <c r="JT32" i="1" s="1"/>
  <c r="JU32" i="1" s="1"/>
  <c r="JN36" i="1"/>
  <c r="JO36" i="1" s="1"/>
  <c r="JT36" i="1" s="1"/>
  <c r="JU36" i="1" s="1"/>
  <c r="JN44" i="1"/>
  <c r="JO44" i="1" s="1"/>
  <c r="JT44" i="1" s="1"/>
  <c r="JU44" i="1" s="1"/>
  <c r="JN48" i="1"/>
  <c r="JO48" i="1" s="1"/>
  <c r="JT48" i="1" s="1"/>
  <c r="JU48" i="1" s="1"/>
  <c r="JN30" i="1"/>
  <c r="JO30" i="1" s="1"/>
  <c r="JT30" i="1" s="1"/>
  <c r="JU30" i="1" s="1"/>
  <c r="JN34" i="1"/>
  <c r="JO34" i="1" s="1"/>
  <c r="JT34" i="1" s="1"/>
  <c r="JU34" i="1" s="1"/>
  <c r="JN38" i="1"/>
  <c r="JO38" i="1" s="1"/>
  <c r="JT38" i="1" s="1"/>
  <c r="JU38" i="1" s="1"/>
  <c r="JN42" i="1"/>
  <c r="JO42" i="1" s="1"/>
  <c r="JT42" i="1" s="1"/>
  <c r="JU42" i="1" s="1"/>
  <c r="JN46" i="1"/>
  <c r="JO46" i="1" s="1"/>
  <c r="JT46" i="1" s="1"/>
  <c r="JU46" i="1" s="1"/>
  <c r="R12" i="4"/>
  <c r="R13" i="4"/>
  <c r="R14" i="4"/>
  <c r="R15" i="4"/>
  <c r="R16" i="4"/>
  <c r="R11" i="4"/>
  <c r="A1" i="15"/>
  <c r="A1" i="6"/>
  <c r="GI14" i="1"/>
  <c r="GC14" i="1"/>
  <c r="FW14" i="1"/>
  <c r="FQ14" i="1"/>
  <c r="FK14" i="1"/>
  <c r="FE14" i="1"/>
  <c r="EC11" i="1"/>
  <c r="DQ11" i="1"/>
  <c r="DZ2" i="1"/>
  <c r="DZ10" i="1" s="1"/>
  <c r="ED10" i="1" s="1"/>
  <c r="EB3" i="1"/>
  <c r="EA3" i="1"/>
  <c r="DZ3" i="1"/>
  <c r="DZ11" i="1" s="1"/>
  <c r="DP3" i="1"/>
  <c r="DO3" i="1"/>
  <c r="DO2" i="1"/>
  <c r="DO10" i="1" s="1"/>
  <c r="DF11" i="1"/>
  <c r="DE3" i="1"/>
  <c r="DD3" i="1"/>
  <c r="CT3" i="1"/>
  <c r="CS3" i="1"/>
  <c r="CS11" i="1" s="1"/>
  <c r="DD2" i="1"/>
  <c r="DD10" i="1" s="1"/>
  <c r="CS2" i="1"/>
  <c r="CS10" i="1" s="1"/>
  <c r="BO10" i="1"/>
  <c r="AU10" i="1"/>
  <c r="CL48" i="1"/>
  <c r="CL47" i="1"/>
  <c r="CM47" i="1" s="1"/>
  <c r="CN47" i="1" s="1"/>
  <c r="EB47" i="1" s="1"/>
  <c r="CL46" i="1"/>
  <c r="CM46" i="1" s="1"/>
  <c r="CN46" i="1" s="1"/>
  <c r="EB46" i="1" s="1"/>
  <c r="CL45" i="1"/>
  <c r="CM45" i="1" s="1"/>
  <c r="CN45" i="1" s="1"/>
  <c r="EB45" i="1" s="1"/>
  <c r="CL44" i="1"/>
  <c r="CM44" i="1" s="1"/>
  <c r="CN44" i="1" s="1"/>
  <c r="EB44" i="1" s="1"/>
  <c r="CL43" i="1"/>
  <c r="CM43" i="1" s="1"/>
  <c r="CN43" i="1" s="1"/>
  <c r="EB43" i="1" s="1"/>
  <c r="CL42" i="1"/>
  <c r="CM42" i="1" s="1"/>
  <c r="CN42" i="1" s="1"/>
  <c r="EB42" i="1" s="1"/>
  <c r="CL41" i="1"/>
  <c r="CM41" i="1" s="1"/>
  <c r="CN41" i="1" s="1"/>
  <c r="EB41" i="1" s="1"/>
  <c r="CL40" i="1"/>
  <c r="CM40" i="1" s="1"/>
  <c r="CN40" i="1" s="1"/>
  <c r="EB40" i="1" s="1"/>
  <c r="CL39" i="1"/>
  <c r="CM39" i="1" s="1"/>
  <c r="CN39" i="1" s="1"/>
  <c r="EB39" i="1" s="1"/>
  <c r="CL38" i="1"/>
  <c r="CM38" i="1" s="1"/>
  <c r="CN38" i="1" s="1"/>
  <c r="EB38" i="1" s="1"/>
  <c r="CL37" i="1"/>
  <c r="CM37" i="1" s="1"/>
  <c r="CN37" i="1" s="1"/>
  <c r="EB37" i="1" s="1"/>
  <c r="CL36" i="1"/>
  <c r="CM36" i="1" s="1"/>
  <c r="CN36" i="1" s="1"/>
  <c r="EB36" i="1" s="1"/>
  <c r="CL35" i="1"/>
  <c r="CM35" i="1" s="1"/>
  <c r="CN35" i="1" s="1"/>
  <c r="EB35" i="1" s="1"/>
  <c r="CL34" i="1"/>
  <c r="CM34" i="1" s="1"/>
  <c r="CN34" i="1" s="1"/>
  <c r="EB34" i="1" s="1"/>
  <c r="CL33" i="1"/>
  <c r="CM33" i="1" s="1"/>
  <c r="CN33" i="1" s="1"/>
  <c r="EB33" i="1" s="1"/>
  <c r="CL32" i="1"/>
  <c r="CM32" i="1" s="1"/>
  <c r="CN32" i="1" s="1"/>
  <c r="EB32" i="1" s="1"/>
  <c r="CL31" i="1"/>
  <c r="CM31" i="1" s="1"/>
  <c r="CN31" i="1" s="1"/>
  <c r="EB31" i="1" s="1"/>
  <c r="CL30" i="1"/>
  <c r="CM30" i="1" s="1"/>
  <c r="CN30" i="1" s="1"/>
  <c r="EB30" i="1" s="1"/>
  <c r="CL29" i="1"/>
  <c r="CM29" i="1" s="1"/>
  <c r="CN29" i="1" s="1"/>
  <c r="EB29" i="1" s="1"/>
  <c r="CL28" i="1"/>
  <c r="CM28" i="1" s="1"/>
  <c r="CN28" i="1" s="1"/>
  <c r="EB28" i="1" s="1"/>
  <c r="CL27" i="1"/>
  <c r="CM27" i="1" s="1"/>
  <c r="CN27" i="1" s="1"/>
  <c r="EB27" i="1" s="1"/>
  <c r="CL26" i="1"/>
  <c r="CM26" i="1" s="1"/>
  <c r="CN26" i="1" s="1"/>
  <c r="EB26" i="1" s="1"/>
  <c r="CL25" i="1"/>
  <c r="CM25" i="1" s="1"/>
  <c r="CN25" i="1" s="1"/>
  <c r="CL24" i="1"/>
  <c r="CM24" i="1" s="1"/>
  <c r="CN24" i="1" s="1"/>
  <c r="CL23" i="1"/>
  <c r="CL22" i="1"/>
  <c r="CL21" i="1"/>
  <c r="CL20" i="1"/>
  <c r="CL19" i="1"/>
  <c r="CI14" i="1"/>
  <c r="CB48" i="1"/>
  <c r="CB47" i="1"/>
  <c r="CC47" i="1" s="1"/>
  <c r="CD47" i="1" s="1"/>
  <c r="EA47" i="1" s="1"/>
  <c r="CB46" i="1"/>
  <c r="CC46" i="1" s="1"/>
  <c r="CD46" i="1" s="1"/>
  <c r="EA46" i="1" s="1"/>
  <c r="CB45" i="1"/>
  <c r="CC45" i="1" s="1"/>
  <c r="CD45" i="1" s="1"/>
  <c r="EA45" i="1" s="1"/>
  <c r="CB44" i="1"/>
  <c r="CC44" i="1" s="1"/>
  <c r="CD44" i="1" s="1"/>
  <c r="EA44" i="1" s="1"/>
  <c r="CB43" i="1"/>
  <c r="CC43" i="1" s="1"/>
  <c r="CD43" i="1" s="1"/>
  <c r="EA43" i="1" s="1"/>
  <c r="CB42" i="1"/>
  <c r="CC42" i="1" s="1"/>
  <c r="CD42" i="1" s="1"/>
  <c r="EA42" i="1" s="1"/>
  <c r="CB41" i="1"/>
  <c r="CC41" i="1" s="1"/>
  <c r="CD41" i="1" s="1"/>
  <c r="EA41" i="1" s="1"/>
  <c r="CB40" i="1"/>
  <c r="CC40" i="1" s="1"/>
  <c r="CD40" i="1" s="1"/>
  <c r="EA40" i="1" s="1"/>
  <c r="CB39" i="1"/>
  <c r="CC39" i="1" s="1"/>
  <c r="CD39" i="1" s="1"/>
  <c r="EA39" i="1" s="1"/>
  <c r="CB38" i="1"/>
  <c r="CC38" i="1" s="1"/>
  <c r="CD38" i="1" s="1"/>
  <c r="EA38" i="1" s="1"/>
  <c r="CB37" i="1"/>
  <c r="CC37" i="1" s="1"/>
  <c r="CD37" i="1" s="1"/>
  <c r="EA37" i="1" s="1"/>
  <c r="CB36" i="1"/>
  <c r="CC36" i="1" s="1"/>
  <c r="CD36" i="1" s="1"/>
  <c r="EA36" i="1" s="1"/>
  <c r="CB35" i="1"/>
  <c r="CC35" i="1" s="1"/>
  <c r="CD35" i="1" s="1"/>
  <c r="EA35" i="1" s="1"/>
  <c r="CB34" i="1"/>
  <c r="CC34" i="1" s="1"/>
  <c r="CD34" i="1" s="1"/>
  <c r="EA34" i="1" s="1"/>
  <c r="CB33" i="1"/>
  <c r="CC33" i="1" s="1"/>
  <c r="CD33" i="1" s="1"/>
  <c r="EA33" i="1" s="1"/>
  <c r="CB32" i="1"/>
  <c r="CC32" i="1" s="1"/>
  <c r="CD32" i="1" s="1"/>
  <c r="EA32" i="1" s="1"/>
  <c r="CB31" i="1"/>
  <c r="CC31" i="1" s="1"/>
  <c r="CD31" i="1" s="1"/>
  <c r="EA31" i="1" s="1"/>
  <c r="CB30" i="1"/>
  <c r="CC30" i="1" s="1"/>
  <c r="CD30" i="1" s="1"/>
  <c r="EA30" i="1" s="1"/>
  <c r="CB29" i="1"/>
  <c r="CC29" i="1" s="1"/>
  <c r="CD29" i="1" s="1"/>
  <c r="EA29" i="1" s="1"/>
  <c r="CB28" i="1"/>
  <c r="CC28" i="1" s="1"/>
  <c r="CD28" i="1" s="1"/>
  <c r="EA28" i="1" s="1"/>
  <c r="CB27" i="1"/>
  <c r="CC27" i="1" s="1"/>
  <c r="CD27" i="1" s="1"/>
  <c r="EA27" i="1" s="1"/>
  <c r="CB26" i="1"/>
  <c r="CC26" i="1" s="1"/>
  <c r="CD26" i="1" s="1"/>
  <c r="EA26" i="1" s="1"/>
  <c r="CB25" i="1"/>
  <c r="CB24" i="1"/>
  <c r="CB23" i="1"/>
  <c r="CB22" i="1"/>
  <c r="CB21" i="1"/>
  <c r="CB20" i="1"/>
  <c r="CB19" i="1"/>
  <c r="BY14" i="1"/>
  <c r="BR48" i="1"/>
  <c r="BR47" i="1"/>
  <c r="BS47" i="1" s="1"/>
  <c r="BT47" i="1" s="1"/>
  <c r="DZ47" i="1" s="1"/>
  <c r="BR46" i="1"/>
  <c r="BS46" i="1" s="1"/>
  <c r="BT46" i="1" s="1"/>
  <c r="DZ46" i="1" s="1"/>
  <c r="BR45" i="1"/>
  <c r="BS45" i="1" s="1"/>
  <c r="BT45" i="1" s="1"/>
  <c r="DZ45" i="1" s="1"/>
  <c r="BR44" i="1"/>
  <c r="BS44" i="1" s="1"/>
  <c r="BT44" i="1" s="1"/>
  <c r="DZ44" i="1" s="1"/>
  <c r="BR43" i="1"/>
  <c r="BS43" i="1" s="1"/>
  <c r="BT43" i="1" s="1"/>
  <c r="DZ43" i="1" s="1"/>
  <c r="BR42" i="1"/>
  <c r="BS42" i="1" s="1"/>
  <c r="BT42" i="1" s="1"/>
  <c r="DZ42" i="1" s="1"/>
  <c r="BR41" i="1"/>
  <c r="BS41" i="1" s="1"/>
  <c r="BT41" i="1" s="1"/>
  <c r="DZ41" i="1" s="1"/>
  <c r="BR40" i="1"/>
  <c r="BR39" i="1"/>
  <c r="BS39" i="1" s="1"/>
  <c r="BT39" i="1" s="1"/>
  <c r="DZ39" i="1" s="1"/>
  <c r="BR38" i="1"/>
  <c r="BS38" i="1" s="1"/>
  <c r="BT38" i="1" s="1"/>
  <c r="DZ38" i="1" s="1"/>
  <c r="BR37" i="1"/>
  <c r="BS37" i="1" s="1"/>
  <c r="BT37" i="1" s="1"/>
  <c r="DZ37" i="1" s="1"/>
  <c r="BR36" i="1"/>
  <c r="BS36" i="1" s="1"/>
  <c r="BT36" i="1" s="1"/>
  <c r="DZ36" i="1" s="1"/>
  <c r="BR35" i="1"/>
  <c r="BS35" i="1" s="1"/>
  <c r="BT35" i="1" s="1"/>
  <c r="DZ35" i="1" s="1"/>
  <c r="BR34" i="1"/>
  <c r="BS34" i="1" s="1"/>
  <c r="BT34" i="1" s="1"/>
  <c r="DZ34" i="1" s="1"/>
  <c r="BR33" i="1"/>
  <c r="BS33" i="1" s="1"/>
  <c r="BT33" i="1" s="1"/>
  <c r="DZ33" i="1" s="1"/>
  <c r="BR32" i="1"/>
  <c r="BS32" i="1" s="1"/>
  <c r="BT32" i="1" s="1"/>
  <c r="DZ32" i="1" s="1"/>
  <c r="BR31" i="1"/>
  <c r="BS31" i="1" s="1"/>
  <c r="BT31" i="1" s="1"/>
  <c r="DZ31" i="1" s="1"/>
  <c r="BR30" i="1"/>
  <c r="BS30" i="1" s="1"/>
  <c r="BT30" i="1" s="1"/>
  <c r="DZ30" i="1" s="1"/>
  <c r="BR29" i="1"/>
  <c r="BS29" i="1" s="1"/>
  <c r="BT29" i="1" s="1"/>
  <c r="DZ29" i="1" s="1"/>
  <c r="BR28" i="1"/>
  <c r="BS28" i="1" s="1"/>
  <c r="BT28" i="1" s="1"/>
  <c r="DZ28" i="1" s="1"/>
  <c r="BR27" i="1"/>
  <c r="BS27" i="1" s="1"/>
  <c r="BT27" i="1" s="1"/>
  <c r="BR26" i="1"/>
  <c r="BS26" i="1" s="1"/>
  <c r="BT26" i="1" s="1"/>
  <c r="DZ26" i="1" s="1"/>
  <c r="BR25" i="1"/>
  <c r="BS25" i="1" s="1"/>
  <c r="BT25" i="1" s="1"/>
  <c r="BR24" i="1"/>
  <c r="BR23" i="1"/>
  <c r="BR22" i="1"/>
  <c r="BR21" i="1"/>
  <c r="BR20" i="1"/>
  <c r="BR19" i="1"/>
  <c r="BO14" i="1"/>
  <c r="BH48" i="1"/>
  <c r="BI48" i="1" s="1"/>
  <c r="BJ48" i="1" s="1"/>
  <c r="BH47" i="1"/>
  <c r="BI47" i="1" s="1"/>
  <c r="BJ47" i="1" s="1"/>
  <c r="BH46" i="1"/>
  <c r="BI46" i="1" s="1"/>
  <c r="BJ46" i="1" s="1"/>
  <c r="BH45" i="1"/>
  <c r="BI45" i="1" s="1"/>
  <c r="BJ45" i="1" s="1"/>
  <c r="BH44" i="1"/>
  <c r="BI44" i="1" s="1"/>
  <c r="BJ44" i="1" s="1"/>
  <c r="BH43" i="1"/>
  <c r="BI43" i="1" s="1"/>
  <c r="BJ43" i="1" s="1"/>
  <c r="BH42" i="1"/>
  <c r="BI42" i="1" s="1"/>
  <c r="BJ42" i="1" s="1"/>
  <c r="BH41" i="1"/>
  <c r="BI41" i="1" s="1"/>
  <c r="BJ41" i="1" s="1"/>
  <c r="BH40" i="1"/>
  <c r="BI40" i="1" s="1"/>
  <c r="BJ40" i="1" s="1"/>
  <c r="BH39" i="1"/>
  <c r="BI39" i="1" s="1"/>
  <c r="BJ39" i="1" s="1"/>
  <c r="BH38" i="1"/>
  <c r="BI38" i="1" s="1"/>
  <c r="BJ38" i="1" s="1"/>
  <c r="BH37" i="1"/>
  <c r="BI37" i="1" s="1"/>
  <c r="BJ37" i="1" s="1"/>
  <c r="BH36" i="1"/>
  <c r="BI36" i="1" s="1"/>
  <c r="BJ36" i="1" s="1"/>
  <c r="BH35" i="1"/>
  <c r="BI35" i="1" s="1"/>
  <c r="BJ35" i="1" s="1"/>
  <c r="BH34" i="1"/>
  <c r="BI34" i="1" s="1"/>
  <c r="BJ34" i="1" s="1"/>
  <c r="BH33" i="1"/>
  <c r="BI33" i="1" s="1"/>
  <c r="BJ33" i="1" s="1"/>
  <c r="BH32" i="1"/>
  <c r="BI32" i="1" s="1"/>
  <c r="BJ32" i="1" s="1"/>
  <c r="BE14" i="1"/>
  <c r="AA10" i="1"/>
  <c r="AX48" i="1"/>
  <c r="AY48" i="1" s="1"/>
  <c r="AZ48" i="1" s="1"/>
  <c r="AX47" i="1"/>
  <c r="AY47" i="1" s="1"/>
  <c r="AZ47" i="1" s="1"/>
  <c r="AX46" i="1"/>
  <c r="AY46" i="1" s="1"/>
  <c r="AZ46" i="1" s="1"/>
  <c r="AX45" i="1"/>
  <c r="AY45" i="1" s="1"/>
  <c r="AZ45" i="1" s="1"/>
  <c r="AX44" i="1"/>
  <c r="AY44" i="1" s="1"/>
  <c r="AZ44" i="1" s="1"/>
  <c r="AX43" i="1"/>
  <c r="AY43" i="1" s="1"/>
  <c r="AZ43" i="1" s="1"/>
  <c r="AX42" i="1"/>
  <c r="AY42" i="1" s="1"/>
  <c r="AZ42" i="1" s="1"/>
  <c r="AX41" i="1"/>
  <c r="AY41" i="1" s="1"/>
  <c r="AZ41" i="1" s="1"/>
  <c r="AX40" i="1"/>
  <c r="AX39" i="1"/>
  <c r="AY39" i="1" s="1"/>
  <c r="AZ39" i="1" s="1"/>
  <c r="AX38" i="1"/>
  <c r="AY38" i="1" s="1"/>
  <c r="AZ38" i="1" s="1"/>
  <c r="AX37" i="1"/>
  <c r="AY37" i="1" s="1"/>
  <c r="AZ37" i="1" s="1"/>
  <c r="AX36" i="1"/>
  <c r="AY36" i="1" s="1"/>
  <c r="AZ36" i="1" s="1"/>
  <c r="AX35" i="1"/>
  <c r="AY35" i="1" s="1"/>
  <c r="AZ35" i="1" s="1"/>
  <c r="AX34" i="1"/>
  <c r="AY34" i="1" s="1"/>
  <c r="AZ34" i="1" s="1"/>
  <c r="AX33" i="1"/>
  <c r="AY33" i="1" s="1"/>
  <c r="AZ33" i="1" s="1"/>
  <c r="AX32" i="1"/>
  <c r="AY32" i="1" s="1"/>
  <c r="AZ32" i="1" s="1"/>
  <c r="AU14" i="1"/>
  <c r="AN48" i="1"/>
  <c r="AO48" i="1" s="1"/>
  <c r="AP48" i="1" s="1"/>
  <c r="AN47" i="1"/>
  <c r="AO47" i="1" s="1"/>
  <c r="AP47" i="1" s="1"/>
  <c r="AN46" i="1"/>
  <c r="AO46" i="1" s="1"/>
  <c r="AP46" i="1" s="1"/>
  <c r="AN45" i="1"/>
  <c r="AO45" i="1" s="1"/>
  <c r="AP45" i="1" s="1"/>
  <c r="AN44" i="1"/>
  <c r="AO44" i="1" s="1"/>
  <c r="AP44" i="1" s="1"/>
  <c r="AN43" i="1"/>
  <c r="AO43" i="1" s="1"/>
  <c r="AP43" i="1" s="1"/>
  <c r="AN42" i="1"/>
  <c r="AO42" i="1" s="1"/>
  <c r="AP42" i="1" s="1"/>
  <c r="AN41" i="1"/>
  <c r="AO41" i="1" s="1"/>
  <c r="AP41" i="1" s="1"/>
  <c r="AN40" i="1"/>
  <c r="AO40" i="1" s="1"/>
  <c r="AP40" i="1" s="1"/>
  <c r="AN39" i="1"/>
  <c r="AO39" i="1" s="1"/>
  <c r="AP39" i="1" s="1"/>
  <c r="AN38" i="1"/>
  <c r="AO38" i="1" s="1"/>
  <c r="AP38" i="1" s="1"/>
  <c r="AN37" i="1"/>
  <c r="AO37" i="1" s="1"/>
  <c r="AP37" i="1" s="1"/>
  <c r="AN36" i="1"/>
  <c r="AO36" i="1" s="1"/>
  <c r="AP36" i="1" s="1"/>
  <c r="AN35" i="1"/>
  <c r="AO35" i="1" s="1"/>
  <c r="AP35" i="1" s="1"/>
  <c r="AN34" i="1"/>
  <c r="AO34" i="1" s="1"/>
  <c r="AP34" i="1" s="1"/>
  <c r="AN33" i="1"/>
  <c r="AO33" i="1" s="1"/>
  <c r="AP33" i="1" s="1"/>
  <c r="AN32" i="1"/>
  <c r="AO32" i="1" s="1"/>
  <c r="AP32" i="1" s="1"/>
  <c r="AN31" i="1"/>
  <c r="AO31" i="1" s="1"/>
  <c r="AP31" i="1" s="1"/>
  <c r="AN30" i="1"/>
  <c r="AO30" i="1" s="1"/>
  <c r="AP30" i="1" s="1"/>
  <c r="AN29" i="1"/>
  <c r="AO29" i="1" s="1"/>
  <c r="AP29" i="1" s="1"/>
  <c r="AN28" i="1"/>
  <c r="AO28" i="1" s="1"/>
  <c r="AP28" i="1" s="1"/>
  <c r="AN27" i="1"/>
  <c r="AO27" i="1" s="1"/>
  <c r="AP27" i="1" s="1"/>
  <c r="AN26" i="1"/>
  <c r="AO26" i="1" s="1"/>
  <c r="AP26" i="1" s="1"/>
  <c r="AN25" i="1"/>
  <c r="AO25" i="1" s="1"/>
  <c r="AP25" i="1" s="1"/>
  <c r="AN24" i="1"/>
  <c r="AN23" i="1"/>
  <c r="AN22" i="1"/>
  <c r="AN21" i="1"/>
  <c r="AN20" i="1"/>
  <c r="AN19" i="1"/>
  <c r="AK14" i="1"/>
  <c r="G10" i="1"/>
  <c r="AD48" i="1"/>
  <c r="AE48" i="1" s="1"/>
  <c r="AF48" i="1" s="1"/>
  <c r="AD47" i="1"/>
  <c r="AE47" i="1" s="1"/>
  <c r="AF47" i="1" s="1"/>
  <c r="AD46" i="1"/>
  <c r="AE46" i="1" s="1"/>
  <c r="AF46" i="1" s="1"/>
  <c r="AD45" i="1"/>
  <c r="AE45" i="1" s="1"/>
  <c r="AF45" i="1" s="1"/>
  <c r="AD44" i="1"/>
  <c r="AE44" i="1" s="1"/>
  <c r="AF44" i="1" s="1"/>
  <c r="AD43" i="1"/>
  <c r="AE43" i="1" s="1"/>
  <c r="AF43" i="1" s="1"/>
  <c r="AD42" i="1"/>
  <c r="AE42" i="1" s="1"/>
  <c r="AF42" i="1" s="1"/>
  <c r="AD41" i="1"/>
  <c r="AE41" i="1" s="1"/>
  <c r="AF41" i="1" s="1"/>
  <c r="AD40" i="1"/>
  <c r="AD39" i="1"/>
  <c r="AE39" i="1" s="1"/>
  <c r="AF39" i="1" s="1"/>
  <c r="AD38" i="1"/>
  <c r="AE38" i="1" s="1"/>
  <c r="AF38" i="1" s="1"/>
  <c r="AD37" i="1"/>
  <c r="AE37" i="1" s="1"/>
  <c r="AF37" i="1" s="1"/>
  <c r="AD36" i="1"/>
  <c r="AE36" i="1" s="1"/>
  <c r="AF36" i="1" s="1"/>
  <c r="AD35" i="1"/>
  <c r="AE35" i="1" s="1"/>
  <c r="AF35" i="1" s="1"/>
  <c r="AD34" i="1"/>
  <c r="AE34" i="1" s="1"/>
  <c r="AF34" i="1" s="1"/>
  <c r="AD33" i="1"/>
  <c r="AE33" i="1" s="1"/>
  <c r="AF33" i="1" s="1"/>
  <c r="AD32" i="1"/>
  <c r="AE32" i="1" s="1"/>
  <c r="AF32" i="1" s="1"/>
  <c r="AD31" i="1"/>
  <c r="AE31" i="1" s="1"/>
  <c r="AF31" i="1" s="1"/>
  <c r="AD30" i="1"/>
  <c r="AE30" i="1" s="1"/>
  <c r="AF30" i="1" s="1"/>
  <c r="AD29" i="1"/>
  <c r="AE29" i="1" s="1"/>
  <c r="AF29" i="1" s="1"/>
  <c r="AD28" i="1"/>
  <c r="AE28" i="1" s="1"/>
  <c r="AF28" i="1" s="1"/>
  <c r="AD27" i="1"/>
  <c r="AE27" i="1" s="1"/>
  <c r="AF27" i="1" s="1"/>
  <c r="AD26" i="1"/>
  <c r="AE26" i="1" s="1"/>
  <c r="AF26" i="1" s="1"/>
  <c r="AD25" i="1"/>
  <c r="AD24" i="1"/>
  <c r="AD23" i="1"/>
  <c r="AD22" i="1"/>
  <c r="AD21" i="1"/>
  <c r="AD20" i="1"/>
  <c r="AD19" i="1"/>
  <c r="AA14" i="1"/>
  <c r="T48" i="1"/>
  <c r="T47" i="1"/>
  <c r="U47" i="1" s="1"/>
  <c r="V47" i="1" s="1"/>
  <c r="T46" i="1"/>
  <c r="U46" i="1" s="1"/>
  <c r="V46" i="1" s="1"/>
  <c r="T45" i="1"/>
  <c r="U45" i="1" s="1"/>
  <c r="V45" i="1" s="1"/>
  <c r="T44" i="1"/>
  <c r="U44" i="1" s="1"/>
  <c r="V44" i="1" s="1"/>
  <c r="T43" i="1"/>
  <c r="U43" i="1" s="1"/>
  <c r="V43" i="1" s="1"/>
  <c r="T42" i="1"/>
  <c r="U42" i="1" s="1"/>
  <c r="V42" i="1" s="1"/>
  <c r="T41" i="1"/>
  <c r="U41" i="1" s="1"/>
  <c r="V41" i="1" s="1"/>
  <c r="T40" i="1"/>
  <c r="U40" i="1" s="1"/>
  <c r="V40" i="1" s="1"/>
  <c r="T39" i="1"/>
  <c r="U39" i="1" s="1"/>
  <c r="V39" i="1" s="1"/>
  <c r="T38" i="1"/>
  <c r="U38" i="1" s="1"/>
  <c r="V38" i="1" s="1"/>
  <c r="T37" i="1"/>
  <c r="U37" i="1" s="1"/>
  <c r="V37" i="1" s="1"/>
  <c r="T36" i="1"/>
  <c r="U36" i="1" s="1"/>
  <c r="V36" i="1" s="1"/>
  <c r="T35" i="1"/>
  <c r="U35" i="1" s="1"/>
  <c r="V35" i="1" s="1"/>
  <c r="T34" i="1"/>
  <c r="U34" i="1" s="1"/>
  <c r="V34" i="1" s="1"/>
  <c r="T33" i="1"/>
  <c r="U33" i="1" s="1"/>
  <c r="V33" i="1" s="1"/>
  <c r="T32" i="1"/>
  <c r="U32" i="1" s="1"/>
  <c r="V32" i="1" s="1"/>
  <c r="T31" i="1"/>
  <c r="U31" i="1" s="1"/>
  <c r="V31" i="1" s="1"/>
  <c r="T30" i="1"/>
  <c r="U30" i="1" s="1"/>
  <c r="V30" i="1" s="1"/>
  <c r="T29" i="1"/>
  <c r="U29" i="1" s="1"/>
  <c r="V29" i="1" s="1"/>
  <c r="T28" i="1"/>
  <c r="U28" i="1" s="1"/>
  <c r="V28" i="1" s="1"/>
  <c r="T27" i="1"/>
  <c r="U27" i="1" s="1"/>
  <c r="V27" i="1" s="1"/>
  <c r="T26" i="1"/>
  <c r="U26" i="1" s="1"/>
  <c r="V26" i="1" s="1"/>
  <c r="T25" i="1"/>
  <c r="U25" i="1" s="1"/>
  <c r="V25" i="1" s="1"/>
  <c r="T24" i="1"/>
  <c r="T23" i="1"/>
  <c r="T22" i="1"/>
  <c r="T21" i="1"/>
  <c r="T20" i="1"/>
  <c r="T19" i="1"/>
  <c r="Q14" i="1"/>
  <c r="G14" i="1"/>
  <c r="J20" i="1"/>
  <c r="J21" i="1"/>
  <c r="J22" i="1"/>
  <c r="J23" i="1"/>
  <c r="J24" i="1"/>
  <c r="J25" i="1"/>
  <c r="K25" i="1" s="1"/>
  <c r="L25" i="1" s="1"/>
  <c r="J26" i="1"/>
  <c r="K26" i="1" s="1"/>
  <c r="L26" i="1" s="1"/>
  <c r="J27" i="1"/>
  <c r="K27" i="1" s="1"/>
  <c r="L27" i="1" s="1"/>
  <c r="J28" i="1"/>
  <c r="K28" i="1" s="1"/>
  <c r="L28" i="1" s="1"/>
  <c r="J29" i="1"/>
  <c r="K29" i="1" s="1"/>
  <c r="L29" i="1" s="1"/>
  <c r="J30" i="1"/>
  <c r="K30" i="1" s="1"/>
  <c r="L30" i="1" s="1"/>
  <c r="J31" i="1"/>
  <c r="K31" i="1" s="1"/>
  <c r="L31" i="1" s="1"/>
  <c r="J32" i="1"/>
  <c r="K32" i="1" s="1"/>
  <c r="L32" i="1" s="1"/>
  <c r="J33" i="1"/>
  <c r="K33" i="1" s="1"/>
  <c r="L33" i="1" s="1"/>
  <c r="J34" i="1"/>
  <c r="K34" i="1" s="1"/>
  <c r="L34" i="1" s="1"/>
  <c r="J35" i="1"/>
  <c r="K35" i="1" s="1"/>
  <c r="L35" i="1" s="1"/>
  <c r="J36" i="1"/>
  <c r="K36" i="1" s="1"/>
  <c r="L36" i="1" s="1"/>
  <c r="J37" i="1"/>
  <c r="K37" i="1" s="1"/>
  <c r="L37" i="1" s="1"/>
  <c r="J38" i="1"/>
  <c r="K38" i="1" s="1"/>
  <c r="L38" i="1" s="1"/>
  <c r="J39" i="1"/>
  <c r="K39" i="1" s="1"/>
  <c r="L39" i="1" s="1"/>
  <c r="J40" i="1"/>
  <c r="J41" i="1"/>
  <c r="K41" i="1" s="1"/>
  <c r="L41" i="1" s="1"/>
  <c r="J42" i="1"/>
  <c r="K42" i="1" s="1"/>
  <c r="L42" i="1" s="1"/>
  <c r="J43" i="1"/>
  <c r="K43" i="1" s="1"/>
  <c r="L43" i="1" s="1"/>
  <c r="J44" i="1"/>
  <c r="K44" i="1" s="1"/>
  <c r="L44" i="1" s="1"/>
  <c r="J45" i="1"/>
  <c r="K45" i="1" s="1"/>
  <c r="L45" i="1" s="1"/>
  <c r="J46" i="1"/>
  <c r="K46" i="1" s="1"/>
  <c r="L46" i="1" s="1"/>
  <c r="J47" i="1"/>
  <c r="K47" i="1" s="1"/>
  <c r="L47" i="1" s="1"/>
  <c r="J48" i="1"/>
  <c r="J19" i="1"/>
  <c r="JV34" i="1"/>
  <c r="JV36" i="1"/>
  <c r="JV45" i="1"/>
  <c r="JV31" i="1"/>
  <c r="JV41" i="1"/>
  <c r="JV48" i="1"/>
  <c r="JV47" i="1"/>
  <c r="JV33" i="1"/>
  <c r="JV43" i="1"/>
  <c r="JV27" i="1"/>
  <c r="JV30" i="1"/>
  <c r="JV44" i="1"/>
  <c r="JV32" i="1"/>
  <c r="JV35" i="1"/>
  <c r="JV39" i="1"/>
  <c r="JV46" i="1"/>
  <c r="JV28" i="1"/>
  <c r="JV29" i="1"/>
  <c r="JV42" i="1"/>
  <c r="JV37" i="1"/>
  <c r="JV38" i="1"/>
  <c r="PC43" i="1" l="1"/>
  <c r="PI43" i="1" s="1"/>
  <c r="PC48" i="1"/>
  <c r="PI48" i="1" s="1"/>
  <c r="PC34" i="1"/>
  <c r="PI34" i="1" s="1"/>
  <c r="PC46" i="1"/>
  <c r="PI46" i="1" s="1"/>
  <c r="PC41" i="1"/>
  <c r="PI41" i="1" s="1"/>
  <c r="BF25" i="22"/>
  <c r="BF27" i="22"/>
  <c r="BF33" i="22"/>
  <c r="BF20" i="22"/>
  <c r="BF26" i="22"/>
  <c r="BF24" i="22"/>
  <c r="BF35" i="22"/>
  <c r="BF34" i="22"/>
  <c r="BF30" i="22"/>
  <c r="BF23" i="22"/>
  <c r="BF32" i="22"/>
  <c r="PC44" i="1"/>
  <c r="PI44" i="1" s="1"/>
  <c r="PC32" i="1"/>
  <c r="PI32" i="1" s="1"/>
  <c r="PC45" i="1"/>
  <c r="PI45" i="1" s="1"/>
  <c r="PN45" i="1"/>
  <c r="QG45" i="1"/>
  <c r="PN31" i="1"/>
  <c r="QG31" i="1"/>
  <c r="PN32" i="1"/>
  <c r="QG32" i="1"/>
  <c r="PN36" i="1"/>
  <c r="QG36" i="1"/>
  <c r="PN47" i="1"/>
  <c r="QG47" i="1"/>
  <c r="PN41" i="1"/>
  <c r="QG41" i="1"/>
  <c r="PN35" i="1"/>
  <c r="QG35" i="1"/>
  <c r="PN33" i="1"/>
  <c r="QG33" i="1"/>
  <c r="PN43" i="1"/>
  <c r="QG43" i="1"/>
  <c r="PN46" i="1"/>
  <c r="QG46" i="1"/>
  <c r="PN44" i="1"/>
  <c r="QG44" i="1"/>
  <c r="PN34" i="1"/>
  <c r="QG34" i="1"/>
  <c r="PN48" i="1"/>
  <c r="QG48" i="1"/>
  <c r="PC35" i="1"/>
  <c r="QD35" i="1" s="1"/>
  <c r="PC33" i="1"/>
  <c r="PC47" i="1"/>
  <c r="QD47" i="1" s="1"/>
  <c r="PC36" i="1"/>
  <c r="QD36" i="1" s="1"/>
  <c r="PC31" i="1"/>
  <c r="OU36" i="1"/>
  <c r="RP36" i="1" s="1"/>
  <c r="OU46" i="1"/>
  <c r="RP46" i="1" s="1"/>
  <c r="OU35" i="1"/>
  <c r="RP35" i="1" s="1"/>
  <c r="OU45" i="1"/>
  <c r="RP45" i="1" s="1"/>
  <c r="OU43" i="1"/>
  <c r="RP43" i="1" s="1"/>
  <c r="OU33" i="1"/>
  <c r="RP33" i="1" s="1"/>
  <c r="OT41" i="1"/>
  <c r="OU47" i="1"/>
  <c r="RP47" i="1" s="1"/>
  <c r="OU44" i="1"/>
  <c r="RP44" i="1" s="1"/>
  <c r="DF30" i="1"/>
  <c r="DF28" i="1"/>
  <c r="DF46" i="1"/>
  <c r="DF38" i="1"/>
  <c r="SM35" i="1"/>
  <c r="CU23" i="22"/>
  <c r="CV23" i="22" s="1"/>
  <c r="CW23" i="22" s="1"/>
  <c r="SM44" i="1"/>
  <c r="CU32" i="22"/>
  <c r="CV32" i="22" s="1"/>
  <c r="CW32" i="22" s="1"/>
  <c r="SM38" i="1"/>
  <c r="CU26" i="22"/>
  <c r="CV26" i="22" s="1"/>
  <c r="CW26" i="22" s="1"/>
  <c r="SM45" i="1"/>
  <c r="CU33" i="22"/>
  <c r="CV33" i="22" s="1"/>
  <c r="CW33" i="22" s="1"/>
  <c r="SM32" i="1"/>
  <c r="CU20" i="22"/>
  <c r="CV20" i="22" s="1"/>
  <c r="CW20" i="22" s="1"/>
  <c r="SM42" i="1"/>
  <c r="CU30" i="22"/>
  <c r="CV30" i="22" s="1"/>
  <c r="CW30" i="22" s="1"/>
  <c r="SM46" i="1"/>
  <c r="CU34" i="22"/>
  <c r="CV34" i="22" s="1"/>
  <c r="CW34" i="22" s="1"/>
  <c r="SM37" i="1"/>
  <c r="CU25" i="22"/>
  <c r="CV25" i="22" s="1"/>
  <c r="CW25" i="22" s="1"/>
  <c r="SM47" i="1"/>
  <c r="CU35" i="22"/>
  <c r="CV35" i="22" s="1"/>
  <c r="CW35" i="22" s="1"/>
  <c r="SM39" i="1"/>
  <c r="CU27" i="22"/>
  <c r="CV27" i="22" s="1"/>
  <c r="CW27" i="22" s="1"/>
  <c r="SM36" i="1"/>
  <c r="CU24" i="22"/>
  <c r="CV24" i="22" s="1"/>
  <c r="CW24" i="22" s="1"/>
  <c r="CU38" i="1"/>
  <c r="DF44" i="1"/>
  <c r="DF31" i="1"/>
  <c r="U16" i="4"/>
  <c r="U12" i="4"/>
  <c r="U15" i="4"/>
  <c r="U14" i="4"/>
  <c r="U11" i="4"/>
  <c r="U13" i="4"/>
  <c r="CU42" i="1"/>
  <c r="DF39" i="1"/>
  <c r="DF35" i="1"/>
  <c r="DF47" i="1"/>
  <c r="DF43" i="1"/>
  <c r="DF45" i="1"/>
  <c r="DF36" i="1"/>
  <c r="OS41" i="1"/>
  <c r="OU41" i="1"/>
  <c r="RP41" i="1" s="1"/>
  <c r="OT31" i="1"/>
  <c r="OS32" i="1"/>
  <c r="OS34" i="1"/>
  <c r="OR41" i="1"/>
  <c r="OT45" i="1"/>
  <c r="OS45" i="1"/>
  <c r="OR45" i="1"/>
  <c r="OR48" i="1"/>
  <c r="OT48" i="1"/>
  <c r="OS48" i="1"/>
  <c r="OR44" i="1"/>
  <c r="OT44" i="1"/>
  <c r="OS47" i="1"/>
  <c r="OS44" i="1"/>
  <c r="OR33" i="1"/>
  <c r="OS46" i="1"/>
  <c r="OR46" i="1"/>
  <c r="OT33" i="1"/>
  <c r="OS33" i="1"/>
  <c r="OR43" i="1"/>
  <c r="OR47" i="1"/>
  <c r="OT47" i="1"/>
  <c r="OT46" i="1"/>
  <c r="OT43" i="1"/>
  <c r="OS43" i="1"/>
  <c r="DF34" i="1"/>
  <c r="CU36" i="1"/>
  <c r="OS35" i="1"/>
  <c r="OT35" i="1"/>
  <c r="OR35" i="1"/>
  <c r="DF32" i="1"/>
  <c r="CU34" i="1"/>
  <c r="OR34" i="1"/>
  <c r="OT34" i="1"/>
  <c r="OR31" i="1"/>
  <c r="OS31" i="1"/>
  <c r="OR32" i="1"/>
  <c r="OT32" i="1"/>
  <c r="DF26" i="1"/>
  <c r="OS36" i="1"/>
  <c r="OT36" i="1"/>
  <c r="OR36" i="1"/>
  <c r="EE28" i="1"/>
  <c r="EE32" i="1"/>
  <c r="EE36" i="1"/>
  <c r="EE44" i="1"/>
  <c r="EE26" i="1"/>
  <c r="EE30" i="1"/>
  <c r="EE34" i="1"/>
  <c r="EE38" i="1"/>
  <c r="EE42" i="1"/>
  <c r="EE46" i="1"/>
  <c r="EE31" i="1"/>
  <c r="EE35" i="1"/>
  <c r="EE39" i="1"/>
  <c r="EE43" i="1"/>
  <c r="EE47" i="1"/>
  <c r="ED29" i="1"/>
  <c r="EE29" i="1"/>
  <c r="ED33" i="1"/>
  <c r="EE33" i="1"/>
  <c r="ED37" i="1"/>
  <c r="EE37" i="1"/>
  <c r="ED41" i="1"/>
  <c r="EE41" i="1"/>
  <c r="ED45" i="1"/>
  <c r="EE45" i="1"/>
  <c r="CU44" i="1"/>
  <c r="ED26" i="1"/>
  <c r="ED30" i="1"/>
  <c r="ED34" i="1"/>
  <c r="ED38" i="1"/>
  <c r="ED42" i="1"/>
  <c r="ED46" i="1"/>
  <c r="ED31" i="1"/>
  <c r="ED35" i="1"/>
  <c r="ED39" i="1"/>
  <c r="ED43" i="1"/>
  <c r="ED47" i="1"/>
  <c r="ED28" i="1"/>
  <c r="ED32" i="1"/>
  <c r="ED36" i="1"/>
  <c r="ED44" i="1"/>
  <c r="DF37" i="1"/>
  <c r="DF41" i="1"/>
  <c r="CU28" i="1"/>
  <c r="DF42" i="1"/>
  <c r="EB24" i="1"/>
  <c r="DZ27" i="1"/>
  <c r="DF29" i="1"/>
  <c r="CU30" i="1"/>
  <c r="CU46" i="1"/>
  <c r="DF33" i="1"/>
  <c r="DF48" i="1"/>
  <c r="CU32" i="1"/>
  <c r="CU47" i="1"/>
  <c r="CU43" i="1"/>
  <c r="CU39" i="1"/>
  <c r="CU35" i="1"/>
  <c r="CU31" i="1"/>
  <c r="DQ35" i="1"/>
  <c r="DQ39" i="1"/>
  <c r="DQ43" i="1"/>
  <c r="DQ47" i="1"/>
  <c r="DQ34" i="1"/>
  <c r="DQ38" i="1"/>
  <c r="DQ42" i="1"/>
  <c r="DQ46" i="1"/>
  <c r="DQ33" i="1"/>
  <c r="DQ37" i="1"/>
  <c r="DQ41" i="1"/>
  <c r="DQ45" i="1"/>
  <c r="DQ32" i="1"/>
  <c r="DQ36" i="1"/>
  <c r="DQ44" i="1"/>
  <c r="DQ48" i="1"/>
  <c r="CU45" i="1"/>
  <c r="CU41" i="1"/>
  <c r="CU37" i="1"/>
  <c r="CU33" i="1"/>
  <c r="CU29" i="1"/>
  <c r="CU26" i="1"/>
  <c r="JQ33" i="1"/>
  <c r="JR33" i="1" s="1"/>
  <c r="JQ29" i="1"/>
  <c r="JR29" i="1" s="1"/>
  <c r="JQ35" i="1"/>
  <c r="JR35" i="1" s="1"/>
  <c r="JQ39" i="1"/>
  <c r="JR39" i="1" s="1"/>
  <c r="JQ38" i="1"/>
  <c r="JR38" i="1" s="1"/>
  <c r="JQ44" i="1"/>
  <c r="JR44" i="1" s="1"/>
  <c r="AN61" i="18" s="1"/>
  <c r="JQ28" i="1"/>
  <c r="JR28" i="1" s="1"/>
  <c r="JQ41" i="1"/>
  <c r="JR41" i="1" s="1"/>
  <c r="AN58" i="18" s="1"/>
  <c r="JQ43" i="1"/>
  <c r="JR43" i="1" s="1"/>
  <c r="JQ27" i="1"/>
  <c r="JR27" i="1" s="1"/>
  <c r="AN44" i="18" s="1"/>
  <c r="JQ46" i="1"/>
  <c r="JR46" i="1" s="1"/>
  <c r="JQ34" i="1"/>
  <c r="JR34" i="1" s="1"/>
  <c r="AN51" i="18" s="1"/>
  <c r="JQ36" i="1"/>
  <c r="JR36" i="1" s="1"/>
  <c r="AN53" i="18" s="1"/>
  <c r="JQ37" i="1"/>
  <c r="JR37" i="1" s="1"/>
  <c r="JQ42" i="1"/>
  <c r="JR42" i="1" s="1"/>
  <c r="AN59" i="18" s="1"/>
  <c r="JQ30" i="1"/>
  <c r="JR30" i="1" s="1"/>
  <c r="JQ48" i="1"/>
  <c r="JR48" i="1" s="1"/>
  <c r="AN65" i="18" s="1"/>
  <c r="JQ32" i="1"/>
  <c r="JR32" i="1" s="1"/>
  <c r="JQ45" i="1"/>
  <c r="JR45" i="1" s="1"/>
  <c r="AN62" i="18" s="1"/>
  <c r="JQ47" i="1"/>
  <c r="JR47" i="1" s="1"/>
  <c r="JQ31" i="1"/>
  <c r="JR31" i="1" s="1"/>
  <c r="AN48" i="18" s="1"/>
  <c r="VH29" i="1"/>
  <c r="VH45" i="1"/>
  <c r="TX26" i="1"/>
  <c r="TX46" i="1"/>
  <c r="UD26" i="1"/>
  <c r="UD42" i="1"/>
  <c r="BB41" i="1"/>
  <c r="BC41" i="1" s="1"/>
  <c r="P58" i="18" s="1"/>
  <c r="BL25" i="1"/>
  <c r="BM25" i="1" s="1"/>
  <c r="R42" i="18" s="1"/>
  <c r="BL45" i="1"/>
  <c r="BM45" i="1" s="1"/>
  <c r="R62" i="18" s="1"/>
  <c r="BV26" i="1"/>
  <c r="BW26" i="1" s="1"/>
  <c r="T43" i="18" s="1"/>
  <c r="BV42" i="1"/>
  <c r="BW42" i="1" s="1"/>
  <c r="T59" i="18" s="1"/>
  <c r="CP40" i="1"/>
  <c r="CQ40" i="1" s="1"/>
  <c r="X57" i="18" s="1"/>
  <c r="VH26" i="1"/>
  <c r="VH30" i="1"/>
  <c r="VH34" i="1"/>
  <c r="VH38" i="1"/>
  <c r="VH42" i="1"/>
  <c r="VH46" i="1"/>
  <c r="TX31" i="1"/>
  <c r="TX35" i="1"/>
  <c r="TX39" i="1"/>
  <c r="TX43" i="1"/>
  <c r="UD27" i="1"/>
  <c r="UD31" i="1"/>
  <c r="UD35" i="1"/>
  <c r="UD39" i="1"/>
  <c r="UD43" i="1"/>
  <c r="UD47" i="1"/>
  <c r="BB34" i="1"/>
  <c r="BC34" i="1" s="1"/>
  <c r="P51" i="18" s="1"/>
  <c r="BB38" i="1"/>
  <c r="BC38" i="1" s="1"/>
  <c r="P55" i="18" s="1"/>
  <c r="BB42" i="1"/>
  <c r="BC42" i="1" s="1"/>
  <c r="P59" i="18" s="1"/>
  <c r="BB46" i="1"/>
  <c r="BC46" i="1" s="1"/>
  <c r="P63" i="18" s="1"/>
  <c r="BL30" i="1"/>
  <c r="BM30" i="1" s="1"/>
  <c r="R47" i="18" s="1"/>
  <c r="BL34" i="1"/>
  <c r="BM34" i="1" s="1"/>
  <c r="R51" i="18" s="1"/>
  <c r="BL38" i="1"/>
  <c r="BM38" i="1" s="1"/>
  <c r="R55" i="18" s="1"/>
  <c r="BL42" i="1"/>
  <c r="BM42" i="1" s="1"/>
  <c r="R59" i="18" s="1"/>
  <c r="BL46" i="1"/>
  <c r="BM46" i="1" s="1"/>
  <c r="R63" i="18" s="1"/>
  <c r="BV27" i="1"/>
  <c r="BW27" i="1" s="1"/>
  <c r="T44" i="18" s="1"/>
  <c r="BV31" i="1"/>
  <c r="BW31" i="1" s="1"/>
  <c r="T48" i="18" s="1"/>
  <c r="BV35" i="1"/>
  <c r="BW35" i="1" s="1"/>
  <c r="T52" i="18" s="1"/>
  <c r="BV39" i="1"/>
  <c r="BW39" i="1" s="1"/>
  <c r="T56" i="18" s="1"/>
  <c r="BV43" i="1"/>
  <c r="BW43" i="1" s="1"/>
  <c r="T60" i="18" s="1"/>
  <c r="BV47" i="1"/>
  <c r="BW47" i="1" s="1"/>
  <c r="T64" i="18" s="1"/>
  <c r="CP25" i="1"/>
  <c r="CQ25" i="1" s="1"/>
  <c r="X42" i="18" s="1"/>
  <c r="CP29" i="1"/>
  <c r="CQ29" i="1" s="1"/>
  <c r="X46" i="18" s="1"/>
  <c r="CP33" i="1"/>
  <c r="CQ33" i="1" s="1"/>
  <c r="X50" i="18" s="1"/>
  <c r="CP37" i="1"/>
  <c r="CQ37" i="1" s="1"/>
  <c r="X54" i="18" s="1"/>
  <c r="CP41" i="1"/>
  <c r="CQ41" i="1" s="1"/>
  <c r="X58" i="18" s="1"/>
  <c r="CP45" i="1"/>
  <c r="CQ45" i="1" s="1"/>
  <c r="X62" i="18" s="1"/>
  <c r="VH33" i="1"/>
  <c r="TX38" i="1"/>
  <c r="UD34" i="1"/>
  <c r="BB37" i="1"/>
  <c r="BC37" i="1" s="1"/>
  <c r="P54" i="18" s="1"/>
  <c r="BL33" i="1"/>
  <c r="BM33" i="1" s="1"/>
  <c r="R50" i="18" s="1"/>
  <c r="BV34" i="1"/>
  <c r="BW34" i="1" s="1"/>
  <c r="T51" i="18" s="1"/>
  <c r="CP32" i="1"/>
  <c r="CQ32" i="1" s="1"/>
  <c r="X49" i="18" s="1"/>
  <c r="CP44" i="1"/>
  <c r="CQ44" i="1" s="1"/>
  <c r="X61" i="18" s="1"/>
  <c r="X27" i="1"/>
  <c r="VH35" i="1"/>
  <c r="VH43" i="1"/>
  <c r="TX32" i="1"/>
  <c r="TX44" i="1"/>
  <c r="UD28" i="1"/>
  <c r="UD32" i="1"/>
  <c r="UD36" i="1"/>
  <c r="UD40" i="1"/>
  <c r="UD44" i="1"/>
  <c r="UD48" i="1"/>
  <c r="BB35" i="1"/>
  <c r="BC35" i="1" s="1"/>
  <c r="P52" i="18" s="1"/>
  <c r="BB39" i="1"/>
  <c r="BC39" i="1" s="1"/>
  <c r="P56" i="18" s="1"/>
  <c r="BB43" i="1"/>
  <c r="BC43" i="1" s="1"/>
  <c r="P60" i="18" s="1"/>
  <c r="BB47" i="1"/>
  <c r="BC47" i="1" s="1"/>
  <c r="P64" i="18" s="1"/>
  <c r="BL27" i="1"/>
  <c r="BM27" i="1" s="1"/>
  <c r="R44" i="18" s="1"/>
  <c r="BL31" i="1"/>
  <c r="BM31" i="1" s="1"/>
  <c r="R48" i="18" s="1"/>
  <c r="BL35" i="1"/>
  <c r="BM35" i="1" s="1"/>
  <c r="R52" i="18" s="1"/>
  <c r="BL39" i="1"/>
  <c r="BM39" i="1" s="1"/>
  <c r="R56" i="18" s="1"/>
  <c r="BL43" i="1"/>
  <c r="BM43" i="1" s="1"/>
  <c r="R60" i="18" s="1"/>
  <c r="BL47" i="1"/>
  <c r="BM47" i="1" s="1"/>
  <c r="R64" i="18" s="1"/>
  <c r="BV28" i="1"/>
  <c r="BW28" i="1" s="1"/>
  <c r="T45" i="18" s="1"/>
  <c r="BV32" i="1"/>
  <c r="BW32" i="1" s="1"/>
  <c r="T49" i="18" s="1"/>
  <c r="BV36" i="1"/>
  <c r="BW36" i="1" s="1"/>
  <c r="T53" i="18" s="1"/>
  <c r="BV44" i="1"/>
  <c r="BW44" i="1" s="1"/>
  <c r="T61" i="18" s="1"/>
  <c r="CP26" i="1"/>
  <c r="CQ26" i="1" s="1"/>
  <c r="X43" i="18" s="1"/>
  <c r="CP30" i="1"/>
  <c r="CQ30" i="1" s="1"/>
  <c r="X47" i="18" s="1"/>
  <c r="CP34" i="1"/>
  <c r="CQ34" i="1" s="1"/>
  <c r="X51" i="18" s="1"/>
  <c r="CP38" i="1"/>
  <c r="CQ38" i="1" s="1"/>
  <c r="X55" i="18" s="1"/>
  <c r="CP42" i="1"/>
  <c r="CQ42" i="1" s="1"/>
  <c r="X59" i="18" s="1"/>
  <c r="CP46" i="1"/>
  <c r="CQ46" i="1" s="1"/>
  <c r="X63" i="18" s="1"/>
  <c r="VH25" i="1"/>
  <c r="VH41" i="1"/>
  <c r="TX42" i="1"/>
  <c r="UD30" i="1"/>
  <c r="UD46" i="1"/>
  <c r="BB45" i="1"/>
  <c r="BC45" i="1" s="1"/>
  <c r="P62" i="18" s="1"/>
  <c r="BL29" i="1"/>
  <c r="BM29" i="1" s="1"/>
  <c r="R46" i="18" s="1"/>
  <c r="BL41" i="1"/>
  <c r="BM41" i="1" s="1"/>
  <c r="R58" i="18" s="1"/>
  <c r="BV46" i="1"/>
  <c r="BW46" i="1" s="1"/>
  <c r="T63" i="18" s="1"/>
  <c r="CP24" i="1"/>
  <c r="CQ24" i="1" s="1"/>
  <c r="X41" i="18" s="1"/>
  <c r="CP36" i="1"/>
  <c r="CQ36" i="1" s="1"/>
  <c r="X53" i="18" s="1"/>
  <c r="VH31" i="1"/>
  <c r="VH39" i="1"/>
  <c r="VH47" i="1"/>
  <c r="X28" i="1"/>
  <c r="VH32" i="1"/>
  <c r="VH36" i="1"/>
  <c r="VH40" i="1"/>
  <c r="VH44" i="1"/>
  <c r="TX29" i="1"/>
  <c r="UD25" i="1"/>
  <c r="UD29" i="1"/>
  <c r="UD33" i="1"/>
  <c r="UD37" i="1"/>
  <c r="UD41" i="1"/>
  <c r="UD45" i="1"/>
  <c r="BB32" i="1"/>
  <c r="BC32" i="1" s="1"/>
  <c r="P49" i="18" s="1"/>
  <c r="BB36" i="1"/>
  <c r="BC36" i="1" s="1"/>
  <c r="P53" i="18" s="1"/>
  <c r="BB44" i="1"/>
  <c r="BC44" i="1" s="1"/>
  <c r="P61" i="18" s="1"/>
  <c r="BB48" i="1"/>
  <c r="BC48" i="1" s="1"/>
  <c r="P65" i="18" s="1"/>
  <c r="BL28" i="1"/>
  <c r="BM28" i="1" s="1"/>
  <c r="R45" i="18" s="1"/>
  <c r="BL32" i="1"/>
  <c r="BM32" i="1" s="1"/>
  <c r="R49" i="18" s="1"/>
  <c r="BL36" i="1"/>
  <c r="BM36" i="1" s="1"/>
  <c r="R53" i="18" s="1"/>
  <c r="BL40" i="1"/>
  <c r="BM40" i="1" s="1"/>
  <c r="R57" i="18" s="1"/>
  <c r="BL44" i="1"/>
  <c r="BM44" i="1" s="1"/>
  <c r="R61" i="18" s="1"/>
  <c r="BL48" i="1"/>
  <c r="BM48" i="1" s="1"/>
  <c r="R65" i="18" s="1"/>
  <c r="BV25" i="1"/>
  <c r="BW25" i="1" s="1"/>
  <c r="T42" i="18" s="1"/>
  <c r="BV29" i="1"/>
  <c r="BW29" i="1" s="1"/>
  <c r="T46" i="18" s="1"/>
  <c r="BV33" i="1"/>
  <c r="BW33" i="1" s="1"/>
  <c r="T50" i="18" s="1"/>
  <c r="BV37" i="1"/>
  <c r="BW37" i="1" s="1"/>
  <c r="T54" i="18" s="1"/>
  <c r="BV41" i="1"/>
  <c r="BW41" i="1" s="1"/>
  <c r="T58" i="18" s="1"/>
  <c r="BV45" i="1"/>
  <c r="BW45" i="1" s="1"/>
  <c r="T62" i="18" s="1"/>
  <c r="CP27" i="1"/>
  <c r="CQ27" i="1" s="1"/>
  <c r="X44" i="18" s="1"/>
  <c r="CP31" i="1"/>
  <c r="CQ31" i="1" s="1"/>
  <c r="X48" i="18" s="1"/>
  <c r="CP35" i="1"/>
  <c r="CQ35" i="1" s="1"/>
  <c r="X52" i="18" s="1"/>
  <c r="CP39" i="1"/>
  <c r="CQ39" i="1" s="1"/>
  <c r="X56" i="18" s="1"/>
  <c r="CP43" i="1"/>
  <c r="CQ43" i="1" s="1"/>
  <c r="X60" i="18" s="1"/>
  <c r="CP47" i="1"/>
  <c r="CQ47" i="1" s="1"/>
  <c r="X64" i="18" s="1"/>
  <c r="VH37" i="1"/>
  <c r="TX34" i="1"/>
  <c r="UD38" i="1"/>
  <c r="BB33" i="1"/>
  <c r="BC33" i="1" s="1"/>
  <c r="P50" i="18" s="1"/>
  <c r="BL37" i="1"/>
  <c r="BM37" i="1" s="1"/>
  <c r="R54" i="18" s="1"/>
  <c r="BV38" i="1"/>
  <c r="BW38" i="1" s="1"/>
  <c r="T55" i="18" s="1"/>
  <c r="CP28" i="1"/>
  <c r="CQ28" i="1" s="1"/>
  <c r="X45" i="18" s="1"/>
  <c r="N36" i="1"/>
  <c r="VB32" i="1"/>
  <c r="VB28" i="1"/>
  <c r="VB43" i="1"/>
  <c r="VB31" i="1"/>
  <c r="VB27" i="1"/>
  <c r="VB47" i="1"/>
  <c r="VB35" i="1"/>
  <c r="VB42" i="1"/>
  <c r="N38" i="1"/>
  <c r="VB34" i="1"/>
  <c r="VB30" i="1"/>
  <c r="VB26" i="1"/>
  <c r="VB44" i="1"/>
  <c r="VB39" i="1"/>
  <c r="VB46" i="1"/>
  <c r="VB45" i="1"/>
  <c r="N41" i="1"/>
  <c r="VB37" i="1"/>
  <c r="VB33" i="1"/>
  <c r="VB29" i="1"/>
  <c r="N25" i="1"/>
  <c r="TX33" i="1"/>
  <c r="TX37" i="1"/>
  <c r="TX41" i="1"/>
  <c r="TX45" i="1"/>
  <c r="TX30" i="1"/>
  <c r="TX27" i="1"/>
  <c r="TX47" i="1"/>
  <c r="TX28" i="1"/>
  <c r="TX36" i="1"/>
  <c r="TX48" i="1"/>
  <c r="N42" i="1"/>
  <c r="N26" i="1"/>
  <c r="N45" i="1"/>
  <c r="N37" i="1"/>
  <c r="N29" i="1"/>
  <c r="N34" i="1"/>
  <c r="N32" i="1"/>
  <c r="N46" i="1"/>
  <c r="N47" i="1"/>
  <c r="N43" i="1"/>
  <c r="N39" i="1"/>
  <c r="N35" i="1"/>
  <c r="N31" i="1"/>
  <c r="DE11" i="1"/>
  <c r="EA11" i="1"/>
  <c r="CT11" i="1"/>
  <c r="DO11" i="1"/>
  <c r="EB11" i="1"/>
  <c r="DD11" i="1"/>
  <c r="DP11" i="1"/>
  <c r="AH47" i="1"/>
  <c r="AH27" i="1"/>
  <c r="AH30" i="1"/>
  <c r="AH45" i="1"/>
  <c r="AH41" i="1"/>
  <c r="AH37" i="1"/>
  <c r="AH33" i="1"/>
  <c r="AH48" i="1"/>
  <c r="AH36" i="1"/>
  <c r="AH28" i="1"/>
  <c r="G1" i="9"/>
  <c r="A1" i="9"/>
  <c r="S1" i="9"/>
  <c r="M1" i="9"/>
  <c r="A1" i="10"/>
  <c r="Y1" i="17"/>
  <c r="S1" i="17"/>
  <c r="M1" i="17"/>
  <c r="G1" i="17"/>
  <c r="A1" i="17"/>
  <c r="Y1" i="3"/>
  <c r="S1" i="3"/>
  <c r="M1" i="3"/>
  <c r="G1" i="3"/>
  <c r="A1" i="3"/>
  <c r="M1" i="16"/>
  <c r="G1" i="16"/>
  <c r="A1" i="16"/>
  <c r="M1" i="7"/>
  <c r="G1" i="7"/>
  <c r="A1" i="7"/>
  <c r="G1" i="15"/>
  <c r="G1" i="6"/>
  <c r="AW1" i="14"/>
  <c r="AQ1" i="14"/>
  <c r="AK1" i="14"/>
  <c r="S1" i="14"/>
  <c r="M1" i="14"/>
  <c r="G1" i="14"/>
  <c r="A1" i="14"/>
  <c r="AW1" i="8"/>
  <c r="AQ1" i="8"/>
  <c r="AK1" i="8"/>
  <c r="S1" i="8"/>
  <c r="M1" i="8"/>
  <c r="G1" i="8"/>
  <c r="A1" i="8"/>
  <c r="CX35" i="22"/>
  <c r="BK23" i="22"/>
  <c r="PP45" i="1"/>
  <c r="CX25" i="22"/>
  <c r="BK34" i="22"/>
  <c r="BK32" i="22"/>
  <c r="CX24" i="22"/>
  <c r="CX34" i="22"/>
  <c r="CX20" i="22"/>
  <c r="PP47" i="1"/>
  <c r="CX26" i="22"/>
  <c r="BK25" i="22"/>
  <c r="PP32" i="1"/>
  <c r="BK30" i="22"/>
  <c r="BK24" i="22"/>
  <c r="CX32" i="22"/>
  <c r="PP46" i="1"/>
  <c r="CX27" i="22"/>
  <c r="BK33" i="22"/>
  <c r="PP34" i="1"/>
  <c r="BK35" i="22"/>
  <c r="BK26" i="22"/>
  <c r="PP35" i="1"/>
  <c r="BK27" i="22"/>
  <c r="CX33" i="22"/>
  <c r="BK20" i="22"/>
  <c r="CX30" i="22"/>
  <c r="CX23" i="22"/>
  <c r="PE43" i="1" l="1"/>
  <c r="QD43" i="1"/>
  <c r="PJ43" i="1"/>
  <c r="QC43" i="1"/>
  <c r="PG34" i="1"/>
  <c r="PD34" i="1"/>
  <c r="PG46" i="1"/>
  <c r="QA48" i="1"/>
  <c r="PG43" i="1"/>
  <c r="PH43" i="1"/>
  <c r="QA43" i="1"/>
  <c r="PD43" i="1"/>
  <c r="PK43" i="1"/>
  <c r="QB43" i="1"/>
  <c r="PK34" i="1"/>
  <c r="PE48" i="1"/>
  <c r="QC48" i="1"/>
  <c r="PD48" i="1"/>
  <c r="PG48" i="1"/>
  <c r="PH48" i="1"/>
  <c r="PJ48" i="1"/>
  <c r="PK48" i="1"/>
  <c r="QB48" i="1"/>
  <c r="QD48" i="1"/>
  <c r="PE34" i="1"/>
  <c r="PJ34" i="1"/>
  <c r="PH34" i="1"/>
  <c r="QA34" i="1"/>
  <c r="QB34" i="1"/>
  <c r="QD34" i="1"/>
  <c r="QC34" i="1"/>
  <c r="QA46" i="1"/>
  <c r="QB32" i="1"/>
  <c r="PD46" i="1"/>
  <c r="PH46" i="1"/>
  <c r="PJ46" i="1"/>
  <c r="QC46" i="1"/>
  <c r="PG41" i="1"/>
  <c r="QB41" i="1"/>
  <c r="PJ41" i="1"/>
  <c r="PD41" i="1"/>
  <c r="PH41" i="1"/>
  <c r="PK46" i="1"/>
  <c r="QD41" i="1"/>
  <c r="PE41" i="1"/>
  <c r="PE46" i="1"/>
  <c r="PK41" i="1"/>
  <c r="QA41" i="1"/>
  <c r="QC41" i="1"/>
  <c r="QB46" i="1"/>
  <c r="QD46" i="1"/>
  <c r="PT34" i="1"/>
  <c r="PT46" i="1"/>
  <c r="PT35" i="1"/>
  <c r="PO47" i="1"/>
  <c r="PT32" i="1"/>
  <c r="PO45" i="1"/>
  <c r="PT48" i="1"/>
  <c r="PO44" i="1"/>
  <c r="PT43" i="1"/>
  <c r="PT33" i="1"/>
  <c r="PT41" i="1"/>
  <c r="PT36" i="1"/>
  <c r="PT31" i="1"/>
  <c r="PJ44" i="1"/>
  <c r="PE32" i="1"/>
  <c r="PK32" i="1"/>
  <c r="QA32" i="1"/>
  <c r="PD44" i="1"/>
  <c r="PE44" i="1"/>
  <c r="PG44" i="1"/>
  <c r="QA44" i="1"/>
  <c r="QC44" i="1"/>
  <c r="PH44" i="1"/>
  <c r="PE45" i="1"/>
  <c r="PD45" i="1"/>
  <c r="PJ45" i="1"/>
  <c r="QB44" i="1"/>
  <c r="PK44" i="1"/>
  <c r="QD44" i="1"/>
  <c r="PG45" i="1"/>
  <c r="QD32" i="1"/>
  <c r="PH45" i="1"/>
  <c r="PK45" i="1"/>
  <c r="QB45" i="1"/>
  <c r="QA45" i="1"/>
  <c r="QC45" i="1"/>
  <c r="QD45" i="1"/>
  <c r="PG36" i="1"/>
  <c r="PG32" i="1"/>
  <c r="PJ32" i="1"/>
  <c r="PD32" i="1"/>
  <c r="PH32" i="1"/>
  <c r="QC32" i="1"/>
  <c r="PT45" i="1"/>
  <c r="PO43" i="1"/>
  <c r="PO32" i="1"/>
  <c r="PO35" i="1"/>
  <c r="PT47" i="1"/>
  <c r="PT44" i="1"/>
  <c r="PO34" i="1"/>
  <c r="PO41" i="1"/>
  <c r="PO31" i="1"/>
  <c r="PO48" i="1"/>
  <c r="PO46" i="1"/>
  <c r="PO33" i="1"/>
  <c r="PO36" i="1"/>
  <c r="QJ48" i="1"/>
  <c r="QM48" i="1"/>
  <c r="QJ34" i="1"/>
  <c r="QM34" i="1"/>
  <c r="QJ46" i="1"/>
  <c r="QM46" i="1"/>
  <c r="QJ33" i="1"/>
  <c r="QM33" i="1"/>
  <c r="QJ41" i="1"/>
  <c r="QM41" i="1"/>
  <c r="QJ36" i="1"/>
  <c r="QM36" i="1"/>
  <c r="QJ31" i="1"/>
  <c r="QM31" i="1"/>
  <c r="QJ44" i="1"/>
  <c r="QM44" i="1"/>
  <c r="QJ43" i="1"/>
  <c r="QM43" i="1"/>
  <c r="QJ35" i="1"/>
  <c r="QM35" i="1"/>
  <c r="QJ47" i="1"/>
  <c r="QM47" i="1"/>
  <c r="QJ32" i="1"/>
  <c r="QM32" i="1"/>
  <c r="QJ45" i="1"/>
  <c r="QM45" i="1"/>
  <c r="QH48" i="1"/>
  <c r="QH34" i="1"/>
  <c r="QH46" i="1"/>
  <c r="QH33" i="1"/>
  <c r="QH41" i="1"/>
  <c r="QH36" i="1"/>
  <c r="QH31" i="1"/>
  <c r="QH44" i="1"/>
  <c r="QH43" i="1"/>
  <c r="QH35" i="1"/>
  <c r="QH47" i="1"/>
  <c r="QH32" i="1"/>
  <c r="QH45" i="1"/>
  <c r="QB33" i="1"/>
  <c r="QD33" i="1"/>
  <c r="QB31" i="1"/>
  <c r="QD31" i="1"/>
  <c r="QB47" i="1"/>
  <c r="QB35" i="1"/>
  <c r="QB36" i="1"/>
  <c r="QC35" i="1"/>
  <c r="QC36" i="1"/>
  <c r="QC47" i="1"/>
  <c r="QA31" i="1"/>
  <c r="QC31" i="1"/>
  <c r="QA33" i="1"/>
  <c r="QC33" i="1"/>
  <c r="PK35" i="1"/>
  <c r="QA35" i="1"/>
  <c r="PE36" i="1"/>
  <c r="QA36" i="1"/>
  <c r="PK47" i="1"/>
  <c r="QA47" i="1"/>
  <c r="PD36" i="1"/>
  <c r="PJ36" i="1"/>
  <c r="PK36" i="1"/>
  <c r="PJ33" i="1"/>
  <c r="PK33" i="1"/>
  <c r="PE31" i="1"/>
  <c r="PK31" i="1"/>
  <c r="PE33" i="1"/>
  <c r="PG47" i="1"/>
  <c r="PJ47" i="1"/>
  <c r="PD31" i="1"/>
  <c r="PJ31" i="1"/>
  <c r="PD35" i="1"/>
  <c r="PJ35" i="1"/>
  <c r="PE47" i="1"/>
  <c r="PE35" i="1"/>
  <c r="PI36" i="1"/>
  <c r="PH36" i="1"/>
  <c r="PI47" i="1"/>
  <c r="PH47" i="1"/>
  <c r="PD47" i="1"/>
  <c r="PI33" i="1"/>
  <c r="PH33" i="1"/>
  <c r="PI31" i="1"/>
  <c r="PH31" i="1"/>
  <c r="PI35" i="1"/>
  <c r="PH35" i="1"/>
  <c r="PG33" i="1"/>
  <c r="PG31" i="1"/>
  <c r="PG35" i="1"/>
  <c r="PD33" i="1"/>
  <c r="HX20" i="1"/>
  <c r="AH8" i="22" s="1"/>
  <c r="MB42" i="1"/>
  <c r="MD42" i="1"/>
  <c r="MB39" i="1"/>
  <c r="MD39" i="1"/>
  <c r="MB32" i="1"/>
  <c r="MD32" i="1"/>
  <c r="MB47" i="1"/>
  <c r="MD47" i="1"/>
  <c r="MB46" i="1"/>
  <c r="MD46" i="1"/>
  <c r="MB36" i="1"/>
  <c r="MD36" i="1"/>
  <c r="MB37" i="1"/>
  <c r="MD37" i="1"/>
  <c r="MB35" i="1"/>
  <c r="MD35" i="1"/>
  <c r="MB38" i="1"/>
  <c r="MD38" i="1"/>
  <c r="MB44" i="1"/>
  <c r="MD44" i="1"/>
  <c r="MB45" i="1"/>
  <c r="MD45" i="1"/>
  <c r="RJ47" i="1"/>
  <c r="RO47" i="1" s="1"/>
  <c r="RI47" i="1"/>
  <c r="RN47" i="1" s="1"/>
  <c r="RF47" i="1"/>
  <c r="RG47" i="1"/>
  <c r="RL47" i="1" s="1"/>
  <c r="RH47" i="1"/>
  <c r="RM47" i="1" s="1"/>
  <c r="RF48" i="1"/>
  <c r="RJ36" i="1"/>
  <c r="RO36" i="1" s="1"/>
  <c r="RI36" i="1"/>
  <c r="RN36" i="1" s="1"/>
  <c r="RH36" i="1"/>
  <c r="RM36" i="1" s="1"/>
  <c r="RF36" i="1"/>
  <c r="RG36" i="1"/>
  <c r="RL36" i="1" s="1"/>
  <c r="RH43" i="1"/>
  <c r="RM43" i="1" s="1"/>
  <c r="RG43" i="1"/>
  <c r="RL43" i="1" s="1"/>
  <c r="RF43" i="1"/>
  <c r="RI43" i="1"/>
  <c r="RN43" i="1" s="1"/>
  <c r="RJ43" i="1"/>
  <c r="RO43" i="1" s="1"/>
  <c r="RJ33" i="1"/>
  <c r="RO33" i="1" s="1"/>
  <c r="RF33" i="1"/>
  <c r="RH33" i="1"/>
  <c r="RM33" i="1" s="1"/>
  <c r="RI33" i="1"/>
  <c r="RN33" i="1" s="1"/>
  <c r="RG33" i="1"/>
  <c r="RL33" i="1" s="1"/>
  <c r="RH44" i="1"/>
  <c r="RM44" i="1" s="1"/>
  <c r="RJ44" i="1"/>
  <c r="RO44" i="1" s="1"/>
  <c r="RI44" i="1"/>
  <c r="RN44" i="1" s="1"/>
  <c r="RF44" i="1"/>
  <c r="RG44" i="1"/>
  <c r="RL44" i="1" s="1"/>
  <c r="RF45" i="1"/>
  <c r="RJ45" i="1"/>
  <c r="RO45" i="1" s="1"/>
  <c r="RH45" i="1"/>
  <c r="RM45" i="1" s="1"/>
  <c r="RG45" i="1"/>
  <c r="RL45" i="1" s="1"/>
  <c r="RI45" i="1"/>
  <c r="RN45" i="1" s="1"/>
  <c r="RF41" i="1"/>
  <c r="RG41" i="1"/>
  <c r="RL41" i="1" s="1"/>
  <c r="RI41" i="1"/>
  <c r="RN41" i="1" s="1"/>
  <c r="RH41" i="1"/>
  <c r="RM41" i="1" s="1"/>
  <c r="RJ41" i="1"/>
  <c r="RO41" i="1" s="1"/>
  <c r="RG31" i="1"/>
  <c r="RL31" i="1" s="1"/>
  <c r="RJ31" i="1"/>
  <c r="RO31" i="1" s="1"/>
  <c r="RF31" i="1"/>
  <c r="RH31" i="1"/>
  <c r="RM31" i="1" s="1"/>
  <c r="RI31" i="1"/>
  <c r="RN31" i="1" s="1"/>
  <c r="RI34" i="1"/>
  <c r="RN34" i="1" s="1"/>
  <c r="RG34" i="1"/>
  <c r="RL34" i="1" s="1"/>
  <c r="RF34" i="1"/>
  <c r="RH34" i="1"/>
  <c r="RM34" i="1" s="1"/>
  <c r="RJ34" i="1"/>
  <c r="RO34" i="1" s="1"/>
  <c r="RJ32" i="1"/>
  <c r="RO32" i="1" s="1"/>
  <c r="RH32" i="1"/>
  <c r="RM32" i="1" s="1"/>
  <c r="RF32" i="1"/>
  <c r="RG32" i="1"/>
  <c r="RL32" i="1" s="1"/>
  <c r="RI32" i="1"/>
  <c r="RN32" i="1" s="1"/>
  <c r="RJ35" i="1"/>
  <c r="RO35" i="1" s="1"/>
  <c r="RI35" i="1"/>
  <c r="RN35" i="1" s="1"/>
  <c r="RH35" i="1"/>
  <c r="RM35" i="1" s="1"/>
  <c r="RG35" i="1"/>
  <c r="RL35" i="1" s="1"/>
  <c r="RF35" i="1"/>
  <c r="RF46" i="1"/>
  <c r="RJ46" i="1"/>
  <c r="RO46" i="1" s="1"/>
  <c r="RG46" i="1"/>
  <c r="RL46" i="1" s="1"/>
  <c r="RH46" i="1"/>
  <c r="RM46" i="1" s="1"/>
  <c r="RI46" i="1"/>
  <c r="RN46" i="1" s="1"/>
  <c r="EC32" i="1"/>
  <c r="EF32" i="1" s="1"/>
  <c r="EG32" i="1" s="1"/>
  <c r="OU48" i="1"/>
  <c r="OU32" i="1"/>
  <c r="OU34" i="1"/>
  <c r="OU31" i="1"/>
  <c r="JX47" i="1"/>
  <c r="AN64" i="18"/>
  <c r="JX30" i="1"/>
  <c r="CQ18" i="22" s="1"/>
  <c r="CR18" i="22" s="1"/>
  <c r="AN47" i="18"/>
  <c r="JX43" i="1"/>
  <c r="AN60" i="18"/>
  <c r="JX38" i="1"/>
  <c r="CQ26" i="22" s="1"/>
  <c r="CR26" i="22" s="1"/>
  <c r="AN55" i="18"/>
  <c r="JX33" i="1"/>
  <c r="CQ21" i="22" s="1"/>
  <c r="CR21" i="22" s="1"/>
  <c r="AN50" i="18"/>
  <c r="JX39" i="1"/>
  <c r="CQ27" i="22" s="1"/>
  <c r="CR27" i="22" s="1"/>
  <c r="AN56" i="18"/>
  <c r="JX32" i="1"/>
  <c r="CQ20" i="22" s="1"/>
  <c r="CR20" i="22" s="1"/>
  <c r="AN49" i="18"/>
  <c r="JX37" i="1"/>
  <c r="CQ25" i="22" s="1"/>
  <c r="CR25" i="22" s="1"/>
  <c r="AN54" i="18"/>
  <c r="JX46" i="1"/>
  <c r="AN63" i="18"/>
  <c r="JX28" i="1"/>
  <c r="CQ16" i="22" s="1"/>
  <c r="CR16" i="22" s="1"/>
  <c r="AN45" i="18"/>
  <c r="JX35" i="1"/>
  <c r="CQ23" i="22" s="1"/>
  <c r="CR23" i="22" s="1"/>
  <c r="AN52" i="18"/>
  <c r="JX29" i="1"/>
  <c r="CQ17" i="22" s="1"/>
  <c r="CR17" i="22" s="1"/>
  <c r="AN46" i="18"/>
  <c r="EC28" i="1"/>
  <c r="EF28" i="1" s="1"/>
  <c r="EG28" i="1" s="1"/>
  <c r="EC36" i="1"/>
  <c r="EF36" i="1" s="1"/>
  <c r="EG36" i="1" s="1"/>
  <c r="EC35" i="1"/>
  <c r="EF35" i="1" s="1"/>
  <c r="EG35" i="1" s="1"/>
  <c r="EC38" i="1"/>
  <c r="EF38" i="1" s="1"/>
  <c r="EG38" i="1" s="1"/>
  <c r="EC44" i="1"/>
  <c r="EF44" i="1" s="1"/>
  <c r="EG44" i="1" s="1"/>
  <c r="EC47" i="1"/>
  <c r="EF47" i="1" s="1"/>
  <c r="EG47" i="1" s="1"/>
  <c r="EC31" i="1"/>
  <c r="EF31" i="1" s="1"/>
  <c r="EG31" i="1" s="1"/>
  <c r="EC34" i="1"/>
  <c r="EF34" i="1" s="1"/>
  <c r="EG34" i="1" s="1"/>
  <c r="EC43" i="1"/>
  <c r="EF43" i="1" s="1"/>
  <c r="EG43" i="1" s="1"/>
  <c r="EC46" i="1"/>
  <c r="EF46" i="1" s="1"/>
  <c r="EG46" i="1" s="1"/>
  <c r="EC30" i="1"/>
  <c r="EF30" i="1" s="1"/>
  <c r="EG30" i="1" s="1"/>
  <c r="EC39" i="1"/>
  <c r="EF39" i="1" s="1"/>
  <c r="EG39" i="1" s="1"/>
  <c r="EC42" i="1"/>
  <c r="EF42" i="1" s="1"/>
  <c r="EG42" i="1" s="1"/>
  <c r="EC26" i="1"/>
  <c r="EF26" i="1" s="1"/>
  <c r="EG26" i="1" s="1"/>
  <c r="EC45" i="1"/>
  <c r="EF45" i="1" s="1"/>
  <c r="EG45" i="1" s="1"/>
  <c r="EC37" i="1"/>
  <c r="EF37" i="1" s="1"/>
  <c r="EG37" i="1" s="1"/>
  <c r="EC29" i="1"/>
  <c r="EF29" i="1" s="1"/>
  <c r="EG29" i="1" s="1"/>
  <c r="EC41" i="1"/>
  <c r="EF41" i="1" s="1"/>
  <c r="EG41" i="1" s="1"/>
  <c r="EC33" i="1"/>
  <c r="EF33" i="1" s="1"/>
  <c r="EG33" i="1" s="1"/>
  <c r="ED27" i="1"/>
  <c r="EE27" i="1"/>
  <c r="EB25" i="1"/>
  <c r="DZ25" i="1"/>
  <c r="RQ43" i="1"/>
  <c r="RR43" i="1" s="1"/>
  <c r="RS43" i="1" s="1"/>
  <c r="RT43" i="1" s="1"/>
  <c r="RU43" i="1" s="1"/>
  <c r="RV43" i="1" s="1"/>
  <c r="RX43" i="1"/>
  <c r="SC43" i="1" s="1"/>
  <c r="SG43" i="1" s="1"/>
  <c r="RQ46" i="1"/>
  <c r="RR46" i="1" s="1"/>
  <c r="RS46" i="1" s="1"/>
  <c r="RT46" i="1" s="1"/>
  <c r="RU46" i="1" s="1"/>
  <c r="RV46" i="1" s="1"/>
  <c r="RX46" i="1"/>
  <c r="SC46" i="1" s="1"/>
  <c r="SG46" i="1" s="1"/>
  <c r="RQ45" i="1"/>
  <c r="RR45" i="1" s="1"/>
  <c r="RS45" i="1" s="1"/>
  <c r="RT45" i="1" s="1"/>
  <c r="RU45" i="1" s="1"/>
  <c r="RV45" i="1" s="1"/>
  <c r="RX45" i="1"/>
  <c r="SC45" i="1" s="1"/>
  <c r="SG45" i="1" s="1"/>
  <c r="RQ33" i="1"/>
  <c r="RR33" i="1" s="1"/>
  <c r="RS33" i="1" s="1"/>
  <c r="RT33" i="1" s="1"/>
  <c r="RU33" i="1" s="1"/>
  <c r="RV33" i="1" s="1"/>
  <c r="RX33" i="1"/>
  <c r="SC33" i="1" s="1"/>
  <c r="SG33" i="1" s="1"/>
  <c r="RQ35" i="1"/>
  <c r="RR35" i="1" s="1"/>
  <c r="RS35" i="1" s="1"/>
  <c r="RT35" i="1" s="1"/>
  <c r="RU35" i="1" s="1"/>
  <c r="RV35" i="1" s="1"/>
  <c r="RX35" i="1"/>
  <c r="SC35" i="1" s="1"/>
  <c r="SG35" i="1" s="1"/>
  <c r="RQ44" i="1"/>
  <c r="RR44" i="1" s="1"/>
  <c r="RS44" i="1" s="1"/>
  <c r="RT44" i="1" s="1"/>
  <c r="RU44" i="1" s="1"/>
  <c r="RV44" i="1" s="1"/>
  <c r="RX44" i="1"/>
  <c r="SC44" i="1" s="1"/>
  <c r="SG44" i="1" s="1"/>
  <c r="RQ36" i="1"/>
  <c r="RR36" i="1" s="1"/>
  <c r="RS36" i="1" s="1"/>
  <c r="RT36" i="1" s="1"/>
  <c r="RU36" i="1" s="1"/>
  <c r="RV36" i="1" s="1"/>
  <c r="RX36" i="1"/>
  <c r="SC36" i="1" s="1"/>
  <c r="SG36" i="1" s="1"/>
  <c r="RQ41" i="1"/>
  <c r="RR41" i="1" s="1"/>
  <c r="RS41" i="1" s="1"/>
  <c r="RT41" i="1" s="1"/>
  <c r="RU41" i="1" s="1"/>
  <c r="RV41" i="1" s="1"/>
  <c r="RX41" i="1"/>
  <c r="SC41" i="1" s="1"/>
  <c r="SG41" i="1" s="1"/>
  <c r="RQ47" i="1"/>
  <c r="RR47" i="1" s="1"/>
  <c r="RS47" i="1" s="1"/>
  <c r="RT47" i="1" s="1"/>
  <c r="RU47" i="1" s="1"/>
  <c r="RV47" i="1" s="1"/>
  <c r="RX47" i="1"/>
  <c r="SC47" i="1" s="1"/>
  <c r="SG47" i="1" s="1"/>
  <c r="JX45" i="1"/>
  <c r="JX48" i="1"/>
  <c r="CQ36" i="22" s="1"/>
  <c r="CR36" i="22" s="1"/>
  <c r="JX42" i="1"/>
  <c r="JX36" i="1"/>
  <c r="CQ24" i="22" s="1"/>
  <c r="CR24" i="22" s="1"/>
  <c r="JX31" i="1"/>
  <c r="CQ19" i="22" s="1"/>
  <c r="CR19" i="22" s="1"/>
  <c r="JX34" i="1"/>
  <c r="CQ22" i="22" s="1"/>
  <c r="CR22" i="22" s="1"/>
  <c r="JX41" i="1"/>
  <c r="JX27" i="1"/>
  <c r="CQ15" i="22" s="1"/>
  <c r="CR15" i="22" s="1"/>
  <c r="JX44" i="1"/>
  <c r="BV30" i="1"/>
  <c r="BW30" i="1" s="1"/>
  <c r="T47" i="18" s="1"/>
  <c r="X29" i="1"/>
  <c r="Y29" i="1" s="1"/>
  <c r="J46" i="18" s="1"/>
  <c r="AR26" i="1"/>
  <c r="AS26" i="1" s="1"/>
  <c r="N43" i="18" s="1"/>
  <c r="AH46" i="1"/>
  <c r="AI46" i="1" s="1"/>
  <c r="L63" i="18" s="1"/>
  <c r="AR39" i="1"/>
  <c r="AS39" i="1" s="1"/>
  <c r="N56" i="18" s="1"/>
  <c r="X42" i="1"/>
  <c r="Y42" i="1" s="1"/>
  <c r="J59" i="18" s="1"/>
  <c r="X26" i="1"/>
  <c r="Y26" i="1" s="1"/>
  <c r="J43" i="18" s="1"/>
  <c r="AR47" i="1"/>
  <c r="AS47" i="1" s="1"/>
  <c r="N64" i="18" s="1"/>
  <c r="AR31" i="1"/>
  <c r="AS31" i="1" s="1"/>
  <c r="N48" i="18" s="1"/>
  <c r="AH39" i="1"/>
  <c r="AI39" i="1" s="1"/>
  <c r="L56" i="18" s="1"/>
  <c r="AH43" i="1"/>
  <c r="AI43" i="1" s="1"/>
  <c r="L60" i="18" s="1"/>
  <c r="X46" i="1"/>
  <c r="Y46" i="1" s="1"/>
  <c r="J63" i="18" s="1"/>
  <c r="AR35" i="1"/>
  <c r="AS35" i="1" s="1"/>
  <c r="N52" i="18" s="1"/>
  <c r="X30" i="1"/>
  <c r="Y30" i="1" s="1"/>
  <c r="J47" i="18" s="1"/>
  <c r="CF47" i="1"/>
  <c r="CG47" i="1" s="1"/>
  <c r="V64" i="18" s="1"/>
  <c r="CF46" i="1"/>
  <c r="CG46" i="1" s="1"/>
  <c r="V63" i="18" s="1"/>
  <c r="CF45" i="1"/>
  <c r="CG45" i="1" s="1"/>
  <c r="V62" i="18" s="1"/>
  <c r="CF44" i="1"/>
  <c r="CG44" i="1" s="1"/>
  <c r="V61" i="18" s="1"/>
  <c r="CF43" i="1"/>
  <c r="CG43" i="1" s="1"/>
  <c r="V60" i="18" s="1"/>
  <c r="CF42" i="1"/>
  <c r="CG42" i="1" s="1"/>
  <c r="V59" i="18" s="1"/>
  <c r="CF41" i="1"/>
  <c r="CG41" i="1" s="1"/>
  <c r="V58" i="18" s="1"/>
  <c r="CF40" i="1"/>
  <c r="CG40" i="1" s="1"/>
  <c r="V57" i="18" s="1"/>
  <c r="CF38" i="1"/>
  <c r="CG38" i="1" s="1"/>
  <c r="V55" i="18" s="1"/>
  <c r="CF39" i="1"/>
  <c r="CG39" i="1" s="1"/>
  <c r="V56" i="18" s="1"/>
  <c r="CF37" i="1"/>
  <c r="CG37" i="1" s="1"/>
  <c r="V54" i="18" s="1"/>
  <c r="CF36" i="1"/>
  <c r="CG36" i="1" s="1"/>
  <c r="V53" i="18" s="1"/>
  <c r="CF35" i="1"/>
  <c r="CG35" i="1" s="1"/>
  <c r="V52" i="18" s="1"/>
  <c r="CF34" i="1"/>
  <c r="CG34" i="1" s="1"/>
  <c r="V51" i="18" s="1"/>
  <c r="CF33" i="1"/>
  <c r="CG33" i="1" s="1"/>
  <c r="V50" i="18" s="1"/>
  <c r="CF32" i="1"/>
  <c r="CG32" i="1" s="1"/>
  <c r="V49" i="18" s="1"/>
  <c r="CF30" i="1"/>
  <c r="CG30" i="1" s="1"/>
  <c r="V47" i="18" s="1"/>
  <c r="CF29" i="1"/>
  <c r="CG29" i="1" s="1"/>
  <c r="V46" i="18" s="1"/>
  <c r="CF27" i="1"/>
  <c r="CG27" i="1" s="1"/>
  <c r="V44" i="18" s="1"/>
  <c r="CF28" i="1"/>
  <c r="CG28" i="1" s="1"/>
  <c r="V45" i="18" s="1"/>
  <c r="CF26" i="1"/>
  <c r="CG26" i="1" s="1"/>
  <c r="V43" i="18" s="1"/>
  <c r="CF31" i="1"/>
  <c r="CG31" i="1" s="1"/>
  <c r="V48" i="18" s="1"/>
  <c r="X43" i="1"/>
  <c r="Y43" i="1" s="1"/>
  <c r="J60" i="18" s="1"/>
  <c r="AR32" i="1"/>
  <c r="AS32" i="1" s="1"/>
  <c r="N49" i="18" s="1"/>
  <c r="AR43" i="1"/>
  <c r="AS43" i="1" s="1"/>
  <c r="N60" i="18" s="1"/>
  <c r="AR27" i="1"/>
  <c r="AS27" i="1" s="1"/>
  <c r="N44" i="18" s="1"/>
  <c r="AR48" i="1"/>
  <c r="AS48" i="1" s="1"/>
  <c r="N65" i="18" s="1"/>
  <c r="X34" i="1"/>
  <c r="Y34" i="1" s="1"/>
  <c r="J51" i="18" s="1"/>
  <c r="AR34" i="1"/>
  <c r="AS34" i="1" s="1"/>
  <c r="N51" i="18" s="1"/>
  <c r="X47" i="1"/>
  <c r="Y47" i="1" s="1"/>
  <c r="J64" i="18" s="1"/>
  <c r="X35" i="1"/>
  <c r="Y35" i="1" s="1"/>
  <c r="J52" i="18" s="1"/>
  <c r="AH31" i="1"/>
  <c r="AI31" i="1" s="1"/>
  <c r="L48" i="18" s="1"/>
  <c r="AR37" i="1"/>
  <c r="AS37" i="1" s="1"/>
  <c r="N54" i="18" s="1"/>
  <c r="AR40" i="1"/>
  <c r="AS40" i="1" s="1"/>
  <c r="N57" i="18" s="1"/>
  <c r="X45" i="1"/>
  <c r="Y45" i="1" s="1"/>
  <c r="J62" i="18" s="1"/>
  <c r="AH26" i="1"/>
  <c r="AI26" i="1" s="1"/>
  <c r="L43" i="18" s="1"/>
  <c r="AR42" i="1"/>
  <c r="AS42" i="1" s="1"/>
  <c r="N59" i="18" s="1"/>
  <c r="X33" i="1"/>
  <c r="Y33" i="1" s="1"/>
  <c r="J50" i="18" s="1"/>
  <c r="X31" i="1"/>
  <c r="Y31" i="1" s="1"/>
  <c r="J48" i="18" s="1"/>
  <c r="AR29" i="1"/>
  <c r="AS29" i="1" s="1"/>
  <c r="N46" i="18" s="1"/>
  <c r="X36" i="1"/>
  <c r="Y36" i="1" s="1"/>
  <c r="J53" i="18" s="1"/>
  <c r="AH34" i="1"/>
  <c r="AI34" i="1" s="1"/>
  <c r="L51" i="18" s="1"/>
  <c r="AR41" i="1"/>
  <c r="AS41" i="1" s="1"/>
  <c r="N58" i="18" s="1"/>
  <c r="X32" i="1"/>
  <c r="Y32" i="1" s="1"/>
  <c r="J49" i="18" s="1"/>
  <c r="AR45" i="1"/>
  <c r="AS45" i="1" s="1"/>
  <c r="N62" i="18" s="1"/>
  <c r="AR25" i="1"/>
  <c r="AS25" i="1" s="1"/>
  <c r="N42" i="18" s="1"/>
  <c r="X37" i="1"/>
  <c r="Y37" i="1" s="1"/>
  <c r="J54" i="18" s="1"/>
  <c r="AR30" i="1"/>
  <c r="AS30" i="1" s="1"/>
  <c r="N47" i="18" s="1"/>
  <c r="AR28" i="1"/>
  <c r="AS28" i="1" s="1"/>
  <c r="N45" i="18" s="1"/>
  <c r="AH29" i="1"/>
  <c r="AI29" i="1" s="1"/>
  <c r="L46" i="18" s="1"/>
  <c r="AR44" i="1"/>
  <c r="AS44" i="1" s="1"/>
  <c r="N61" i="18" s="1"/>
  <c r="X25" i="1"/>
  <c r="Y25" i="1" s="1"/>
  <c r="J42" i="18" s="1"/>
  <c r="AR33" i="1"/>
  <c r="AS33" i="1" s="1"/>
  <c r="N50" i="18" s="1"/>
  <c r="AH38" i="1"/>
  <c r="AI38" i="1" s="1"/>
  <c r="L55" i="18" s="1"/>
  <c r="VH28" i="1"/>
  <c r="VH27" i="1"/>
  <c r="X44" i="1"/>
  <c r="Y44" i="1" s="1"/>
  <c r="J61" i="18" s="1"/>
  <c r="AH44" i="1"/>
  <c r="AI44" i="1" s="1"/>
  <c r="L61" i="18" s="1"/>
  <c r="AH35" i="1"/>
  <c r="AI35" i="1" s="1"/>
  <c r="L52" i="18" s="1"/>
  <c r="X38" i="1"/>
  <c r="Y38" i="1" s="1"/>
  <c r="J55" i="18" s="1"/>
  <c r="X41" i="1"/>
  <c r="Y41" i="1" s="1"/>
  <c r="J58" i="18" s="1"/>
  <c r="X39" i="1"/>
  <c r="Y39" i="1" s="1"/>
  <c r="J56" i="18" s="1"/>
  <c r="AR46" i="1"/>
  <c r="AS46" i="1" s="1"/>
  <c r="N63" i="18" s="1"/>
  <c r="AR36" i="1"/>
  <c r="AS36" i="1" s="1"/>
  <c r="N53" i="18" s="1"/>
  <c r="AR38" i="1"/>
  <c r="AS38" i="1" s="1"/>
  <c r="N55" i="18" s="1"/>
  <c r="X40" i="1"/>
  <c r="Y40" i="1" s="1"/>
  <c r="J57" i="18" s="1"/>
  <c r="AH42" i="1"/>
  <c r="AI42" i="1" s="1"/>
  <c r="L59" i="18" s="1"/>
  <c r="AH32" i="1"/>
  <c r="AI32" i="1" s="1"/>
  <c r="L49" i="18" s="1"/>
  <c r="N28" i="1"/>
  <c r="O28" i="1" s="1"/>
  <c r="H45" i="18" s="1"/>
  <c r="N27" i="1"/>
  <c r="O27" i="1" s="1"/>
  <c r="H44" i="18" s="1"/>
  <c r="N44" i="1"/>
  <c r="O44" i="1" s="1"/>
  <c r="H61" i="18" s="1"/>
  <c r="N30" i="1"/>
  <c r="O30" i="1" s="1"/>
  <c r="H47" i="18" s="1"/>
  <c r="N33" i="1"/>
  <c r="O33" i="1" s="1"/>
  <c r="H50" i="18" s="1"/>
  <c r="VB25" i="1"/>
  <c r="VB41" i="1"/>
  <c r="VB38" i="1"/>
  <c r="VB36" i="1"/>
  <c r="AI28" i="1"/>
  <c r="L45" i="18" s="1"/>
  <c r="AI45" i="1"/>
  <c r="L62" i="18" s="1"/>
  <c r="AI47" i="1"/>
  <c r="L64" i="18" s="1"/>
  <c r="AI41" i="1"/>
  <c r="L58" i="18" s="1"/>
  <c r="AI36" i="1"/>
  <c r="L53" i="18" s="1"/>
  <c r="AI30" i="1"/>
  <c r="L47" i="18" s="1"/>
  <c r="AI33" i="1"/>
  <c r="L50" i="18" s="1"/>
  <c r="AI37" i="1"/>
  <c r="L54" i="18" s="1"/>
  <c r="AI48" i="1"/>
  <c r="L65" i="18" s="1"/>
  <c r="Y27" i="1"/>
  <c r="J44" i="18" s="1"/>
  <c r="Y28" i="1"/>
  <c r="J45" i="18" s="1"/>
  <c r="O43" i="1"/>
  <c r="H60" i="18" s="1"/>
  <c r="O32" i="1"/>
  <c r="H49" i="18" s="1"/>
  <c r="O25" i="1"/>
  <c r="H42" i="18" s="1"/>
  <c r="O41" i="1"/>
  <c r="H58" i="18" s="1"/>
  <c r="O42" i="1"/>
  <c r="H59" i="18" s="1"/>
  <c r="O31" i="1"/>
  <c r="H48" i="18" s="1"/>
  <c r="O47" i="1"/>
  <c r="H64" i="18" s="1"/>
  <c r="O29" i="1"/>
  <c r="H46" i="18" s="1"/>
  <c r="O45" i="1"/>
  <c r="H62" i="18" s="1"/>
  <c r="O38" i="1"/>
  <c r="H55" i="18" s="1"/>
  <c r="O35" i="1"/>
  <c r="H52" i="18" s="1"/>
  <c r="O46" i="1"/>
  <c r="H63" i="18" s="1"/>
  <c r="O39" i="1"/>
  <c r="H56" i="18" s="1"/>
  <c r="O36" i="1"/>
  <c r="H53" i="18" s="1"/>
  <c r="O34" i="1"/>
  <c r="H51" i="18" s="1"/>
  <c r="O37" i="1"/>
  <c r="H54" i="18" s="1"/>
  <c r="O26" i="1"/>
  <c r="H43" i="18" s="1"/>
  <c r="U2" i="4"/>
  <c r="U3" i="4"/>
  <c r="CT4" i="1" s="1"/>
  <c r="U4" i="4"/>
  <c r="DD4" i="1" s="1"/>
  <c r="U5" i="4"/>
  <c r="DE4" i="1" s="1"/>
  <c r="U19" i="4"/>
  <c r="U26" i="4"/>
  <c r="AX18" i="4"/>
  <c r="T2" i="4" s="1"/>
  <c r="S2" i="4"/>
  <c r="K40" i="1" s="1"/>
  <c r="L40" i="1" s="1"/>
  <c r="S3" i="4"/>
  <c r="S4" i="4"/>
  <c r="AE25" i="1" s="1"/>
  <c r="AF25" i="1" s="1"/>
  <c r="TX25" i="1" s="1"/>
  <c r="S5" i="4"/>
  <c r="S19" i="4"/>
  <c r="AN2" i="4"/>
  <c r="AN3" i="4"/>
  <c r="AN4" i="4"/>
  <c r="AN5" i="4"/>
  <c r="AN6" i="4"/>
  <c r="TH9" i="1" s="1"/>
  <c r="AN7" i="4"/>
  <c r="TM9" i="1" s="1"/>
  <c r="Z2" i="4"/>
  <c r="Z3" i="4"/>
  <c r="Z4" i="4"/>
  <c r="Z5" i="4"/>
  <c r="Z7" i="4"/>
  <c r="Z6" i="4"/>
  <c r="Z8" i="4"/>
  <c r="Z9" i="4"/>
  <c r="Z10" i="4"/>
  <c r="Z11" i="4"/>
  <c r="Y11" i="4" s="1"/>
  <c r="Z12" i="4"/>
  <c r="Y12" i="4" s="1"/>
  <c r="Z13" i="4"/>
  <c r="Y13" i="4" s="1"/>
  <c r="Z14" i="4"/>
  <c r="Y14" i="4" s="1"/>
  <c r="Z15" i="4"/>
  <c r="Y15" i="4" s="1"/>
  <c r="Z16" i="4"/>
  <c r="Y16" i="4" s="1"/>
  <c r="Z17" i="4"/>
  <c r="Y17" i="4" s="1"/>
  <c r="Z18" i="4"/>
  <c r="Y18" i="4" s="1"/>
  <c r="Z19" i="4"/>
  <c r="Y19" i="4" s="1"/>
  <c r="Z20" i="4"/>
  <c r="Y20" i="4" s="1"/>
  <c r="Z21" i="4"/>
  <c r="Z22" i="4"/>
  <c r="Z23" i="4"/>
  <c r="Z24" i="4"/>
  <c r="Z25" i="4"/>
  <c r="Y25" i="4" s="1"/>
  <c r="Z26" i="4"/>
  <c r="Z27" i="4"/>
  <c r="Z28" i="4"/>
  <c r="Z29" i="4"/>
  <c r="Z30" i="4"/>
  <c r="AM24" i="4"/>
  <c r="AM23" i="4"/>
  <c r="AM18" i="4"/>
  <c r="AM17" i="4"/>
  <c r="S14" i="4"/>
  <c r="S15" i="4"/>
  <c r="R10" i="4"/>
  <c r="R9" i="4"/>
  <c r="R8" i="4"/>
  <c r="R6" i="4"/>
  <c r="AI27" i="1"/>
  <c r="L44" i="18" s="1"/>
  <c r="BA8" i="22"/>
  <c r="BA9" i="22"/>
  <c r="BA10" i="22"/>
  <c r="DE43" i="1"/>
  <c r="QN33" i="1"/>
  <c r="PP31" i="1"/>
  <c r="PP48" i="1"/>
  <c r="QI41" i="1"/>
  <c r="PU33" i="1"/>
  <c r="QN48" i="1"/>
  <c r="QN44" i="1"/>
  <c r="QI43" i="1"/>
  <c r="CT26" i="1"/>
  <c r="QI33" i="1"/>
  <c r="QK36" i="1"/>
  <c r="QI47" i="1"/>
  <c r="QK35" i="1"/>
  <c r="DE30" i="1"/>
  <c r="QN47" i="1"/>
  <c r="QN41" i="1"/>
  <c r="QN46" i="1"/>
  <c r="QN35" i="1"/>
  <c r="QI32" i="1"/>
  <c r="QI46" i="1"/>
  <c r="PU45" i="1"/>
  <c r="PU48" i="1"/>
  <c r="QI44" i="1"/>
  <c r="QK33" i="1"/>
  <c r="QN36" i="1"/>
  <c r="PU36" i="1"/>
  <c r="QI48" i="1"/>
  <c r="QK44" i="1"/>
  <c r="PU46" i="1"/>
  <c r="PU34" i="1"/>
  <c r="QI35" i="1"/>
  <c r="QK32" i="1"/>
  <c r="PP36" i="1"/>
  <c r="PP43" i="1"/>
  <c r="QI45" i="1"/>
  <c r="PU41" i="1"/>
  <c r="QN32" i="1"/>
  <c r="PU47" i="1"/>
  <c r="PP44" i="1"/>
  <c r="PP33" i="1"/>
  <c r="QI36" i="1"/>
  <c r="PP41" i="1"/>
  <c r="QI34" i="1"/>
  <c r="QN34" i="1"/>
  <c r="QN43" i="1"/>
  <c r="QN31" i="1"/>
  <c r="PU35" i="1"/>
  <c r="QK34" i="1"/>
  <c r="QN45" i="1"/>
  <c r="QK31" i="1"/>
  <c r="DD43" i="1"/>
  <c r="QI31" i="1"/>
  <c r="QK46" i="1"/>
  <c r="PU43" i="1"/>
  <c r="QK48" i="1"/>
  <c r="QK47" i="1"/>
  <c r="PU31" i="1"/>
  <c r="QK41" i="1"/>
  <c r="QK45" i="1"/>
  <c r="PU32" i="1"/>
  <c r="PU44" i="1"/>
  <c r="QK43" i="1"/>
  <c r="PF43" i="1" l="1"/>
  <c r="QE43" i="1"/>
  <c r="QF43" i="1" s="1"/>
  <c r="PF34" i="1"/>
  <c r="PL43" i="1"/>
  <c r="PM43" i="1" s="1"/>
  <c r="BB10" i="22"/>
  <c r="BB9" i="22"/>
  <c r="BB8" i="22"/>
  <c r="N49" i="21"/>
  <c r="KW41" i="1"/>
  <c r="KW43" i="1"/>
  <c r="KX43" i="1" s="1"/>
  <c r="N39" i="21"/>
  <c r="N29" i="21"/>
  <c r="N19" i="21"/>
  <c r="QE34" i="1"/>
  <c r="QF34" i="1" s="1"/>
  <c r="QE48" i="1"/>
  <c r="QF48" i="1" s="1"/>
  <c r="PL34" i="1"/>
  <c r="PM34" i="1" s="1"/>
  <c r="PL48" i="1"/>
  <c r="PM48" i="1" s="1"/>
  <c r="PF48" i="1"/>
  <c r="PF46" i="1"/>
  <c r="PL46" i="1"/>
  <c r="PM46" i="1" s="1"/>
  <c r="PL41" i="1"/>
  <c r="PM41" i="1" s="1"/>
  <c r="PF41" i="1"/>
  <c r="QE46" i="1"/>
  <c r="QF46" i="1" s="1"/>
  <c r="QE41" i="1"/>
  <c r="QF41" i="1" s="1"/>
  <c r="QP35" i="1"/>
  <c r="QQ35" i="1" s="1"/>
  <c r="QP48" i="1"/>
  <c r="QQ48" i="1" s="1"/>
  <c r="QP44" i="1"/>
  <c r="QQ44" i="1" s="1"/>
  <c r="QP45" i="1"/>
  <c r="QQ45" i="1" s="1"/>
  <c r="QP32" i="1"/>
  <c r="QQ32" i="1" s="1"/>
  <c r="QP41" i="1"/>
  <c r="QQ41" i="1" s="1"/>
  <c r="QP43" i="1"/>
  <c r="QQ43" i="1" s="1"/>
  <c r="QP31" i="1"/>
  <c r="QQ31" i="1" s="1"/>
  <c r="QP36" i="1"/>
  <c r="QQ36" i="1" s="1"/>
  <c r="QP33" i="1"/>
  <c r="QQ33" i="1" s="1"/>
  <c r="QP46" i="1"/>
  <c r="QQ46" i="1" s="1"/>
  <c r="QP47" i="1"/>
  <c r="QQ47" i="1" s="1"/>
  <c r="QP34" i="1"/>
  <c r="QQ34" i="1" s="1"/>
  <c r="PW44" i="1"/>
  <c r="PX44" i="1" s="1"/>
  <c r="PW45" i="1"/>
  <c r="PX45" i="1" s="1"/>
  <c r="PW47" i="1"/>
  <c r="PX47" i="1" s="1"/>
  <c r="PV31" i="1"/>
  <c r="PW31" i="1"/>
  <c r="PX31" i="1" s="1"/>
  <c r="PV41" i="1"/>
  <c r="PW41" i="1"/>
  <c r="PX41" i="1" s="1"/>
  <c r="PW43" i="1"/>
  <c r="PX43" i="1" s="1"/>
  <c r="PV43" i="1"/>
  <c r="PW48" i="1"/>
  <c r="PX48" i="1" s="1"/>
  <c r="PV48" i="1"/>
  <c r="PW32" i="1"/>
  <c r="PX32" i="1" s="1"/>
  <c r="PV32" i="1"/>
  <c r="PV35" i="1"/>
  <c r="PW35" i="1"/>
  <c r="PX35" i="1" s="1"/>
  <c r="PW46" i="1"/>
  <c r="PX46" i="1" s="1"/>
  <c r="PV46" i="1"/>
  <c r="PW36" i="1"/>
  <c r="PX36" i="1" s="1"/>
  <c r="PV36" i="1"/>
  <c r="PW33" i="1"/>
  <c r="PX33" i="1" s="1"/>
  <c r="PV33" i="1"/>
  <c r="PV34" i="1"/>
  <c r="PW34" i="1"/>
  <c r="PX34" i="1" s="1"/>
  <c r="PF44" i="1"/>
  <c r="PF32" i="1"/>
  <c r="CQ29" i="22"/>
  <c r="CR29" i="22" s="1"/>
  <c r="CQ30" i="22"/>
  <c r="CR30" i="22" s="1"/>
  <c r="JZ46" i="1"/>
  <c r="CQ34" i="22"/>
  <c r="CR34" i="22" s="1"/>
  <c r="CQ31" i="22"/>
  <c r="CR31" i="22" s="1"/>
  <c r="JZ47" i="1"/>
  <c r="CQ35" i="22"/>
  <c r="CR35" i="22" s="1"/>
  <c r="JZ44" i="1"/>
  <c r="CQ32" i="22"/>
  <c r="CR32" i="22" s="1"/>
  <c r="JZ45" i="1"/>
  <c r="CQ33" i="22"/>
  <c r="CR33" i="22" s="1"/>
  <c r="PF45" i="1"/>
  <c r="PL45" i="1"/>
  <c r="PM45" i="1" s="1"/>
  <c r="PL44" i="1"/>
  <c r="PM44" i="1" s="1"/>
  <c r="QE45" i="1"/>
  <c r="QF45" i="1" s="1"/>
  <c r="QE44" i="1"/>
  <c r="QF44" i="1" s="1"/>
  <c r="QE32" i="1"/>
  <c r="QF32" i="1" s="1"/>
  <c r="PL32" i="1"/>
  <c r="PM32" i="1" s="1"/>
  <c r="PV45" i="1"/>
  <c r="PV44" i="1"/>
  <c r="PV47" i="1"/>
  <c r="PF36" i="1"/>
  <c r="QO45" i="1"/>
  <c r="QO47" i="1"/>
  <c r="QO44" i="1"/>
  <c r="QO31" i="1"/>
  <c r="QO41" i="1"/>
  <c r="QO34" i="1"/>
  <c r="QO32" i="1"/>
  <c r="QO35" i="1"/>
  <c r="QO43" i="1"/>
  <c r="QO36" i="1"/>
  <c r="QO33" i="1"/>
  <c r="QO46" i="1"/>
  <c r="QO48" i="1"/>
  <c r="QL45" i="1"/>
  <c r="QL47" i="1"/>
  <c r="QL44" i="1"/>
  <c r="QL31" i="1"/>
  <c r="QL41" i="1"/>
  <c r="QL34" i="1"/>
  <c r="QL32" i="1"/>
  <c r="QL35" i="1"/>
  <c r="QL43" i="1"/>
  <c r="QL36" i="1"/>
  <c r="QL33" i="1"/>
  <c r="QL46" i="1"/>
  <c r="QL48" i="1"/>
  <c r="QE36" i="1"/>
  <c r="QF36" i="1" s="1"/>
  <c r="QE47" i="1"/>
  <c r="QF47" i="1" s="1"/>
  <c r="QE35" i="1"/>
  <c r="QF35" i="1" s="1"/>
  <c r="QE33" i="1"/>
  <c r="QF33" i="1" s="1"/>
  <c r="QE31" i="1"/>
  <c r="QF31" i="1" s="1"/>
  <c r="PF47" i="1"/>
  <c r="PL31" i="1"/>
  <c r="PM31" i="1" s="1"/>
  <c r="PL36" i="1"/>
  <c r="PM36" i="1" s="1"/>
  <c r="PF31" i="1"/>
  <c r="PL33" i="1"/>
  <c r="PM33" i="1" s="1"/>
  <c r="PL35" i="1"/>
  <c r="PM35" i="1" s="1"/>
  <c r="PL47" i="1"/>
  <c r="PM47" i="1" s="1"/>
  <c r="PF35" i="1"/>
  <c r="PF33" i="1"/>
  <c r="VB40" i="1"/>
  <c r="N40" i="1"/>
  <c r="O40" i="1" s="1"/>
  <c r="H57" i="18" s="1"/>
  <c r="CU40" i="1"/>
  <c r="AE24" i="1"/>
  <c r="AE40" i="1"/>
  <c r="AF40" i="1" s="1"/>
  <c r="BI23" i="22"/>
  <c r="BJ23" i="22" s="1"/>
  <c r="BI20" i="22"/>
  <c r="BJ20" i="22" s="1"/>
  <c r="BI32" i="22"/>
  <c r="BJ32" i="22" s="1"/>
  <c r="BI35" i="22"/>
  <c r="BJ35" i="22" s="1"/>
  <c r="BI34" i="22"/>
  <c r="BJ34" i="22" s="1"/>
  <c r="BI30" i="22"/>
  <c r="BJ30" i="22" s="1"/>
  <c r="BI25" i="22"/>
  <c r="BJ25" i="22" s="1"/>
  <c r="BI27" i="22"/>
  <c r="BJ27" i="22" s="1"/>
  <c r="BI33" i="22"/>
  <c r="BJ33" i="22" s="1"/>
  <c r="BI26" i="22"/>
  <c r="BJ26" i="22" s="1"/>
  <c r="BI24" i="22"/>
  <c r="BJ24" i="22" s="1"/>
  <c r="KW24" i="1"/>
  <c r="KX24" i="1" s="1"/>
  <c r="KW26" i="1"/>
  <c r="KW25" i="1"/>
  <c r="KX25" i="1" s="1"/>
  <c r="KW30" i="1"/>
  <c r="KX30" i="1" s="1"/>
  <c r="KW22" i="1"/>
  <c r="KX22" i="1" s="1"/>
  <c r="KW27" i="1"/>
  <c r="KX27" i="1" s="1"/>
  <c r="KW33" i="1"/>
  <c r="KX33" i="1" s="1"/>
  <c r="KW34" i="1"/>
  <c r="KX34" i="1" s="1"/>
  <c r="KW23" i="1"/>
  <c r="KW28" i="1"/>
  <c r="KX28" i="1" s="1"/>
  <c r="W17" i="22"/>
  <c r="W30" i="22"/>
  <c r="W31" i="22"/>
  <c r="W32" i="22"/>
  <c r="W24" i="22"/>
  <c r="W20" i="22"/>
  <c r="W25" i="22"/>
  <c r="W27" i="22"/>
  <c r="W22" i="22"/>
  <c r="W26" i="22"/>
  <c r="W16" i="22"/>
  <c r="W21" i="22"/>
  <c r="W33" i="22"/>
  <c r="W18" i="22"/>
  <c r="W19" i="22"/>
  <c r="W23" i="22"/>
  <c r="W29" i="22"/>
  <c r="W14" i="22"/>
  <c r="W34" i="22"/>
  <c r="W35" i="22"/>
  <c r="SN36" i="1"/>
  <c r="CY24" i="22"/>
  <c r="DA24" i="22" s="1"/>
  <c r="SN35" i="1"/>
  <c r="CY23" i="22"/>
  <c r="DA23" i="22" s="1"/>
  <c r="SN47" i="1"/>
  <c r="CY35" i="22"/>
  <c r="DA35" i="22" s="1"/>
  <c r="SN41" i="1"/>
  <c r="CY29" i="22"/>
  <c r="DA29" i="22" s="1"/>
  <c r="SN44" i="1"/>
  <c r="CY32" i="22"/>
  <c r="DA32" i="22" s="1"/>
  <c r="SN33" i="1"/>
  <c r="CY21" i="22"/>
  <c r="DA21" i="22" s="1"/>
  <c r="SN45" i="1"/>
  <c r="CY33" i="22"/>
  <c r="DA33" i="22" s="1"/>
  <c r="SN46" i="1"/>
  <c r="CY34" i="22"/>
  <c r="DA34" i="22" s="1"/>
  <c r="SN43" i="1"/>
  <c r="CY31" i="22"/>
  <c r="DA31" i="22" s="1"/>
  <c r="RK41" i="1"/>
  <c r="RK43" i="1"/>
  <c r="RK34" i="1"/>
  <c r="RK45" i="1"/>
  <c r="RK48" i="1"/>
  <c r="RK47" i="1"/>
  <c r="RK46" i="1"/>
  <c r="RK32" i="1"/>
  <c r="RK31" i="1"/>
  <c r="RK33" i="1"/>
  <c r="RK36" i="1"/>
  <c r="RK35" i="1"/>
  <c r="RK44" i="1"/>
  <c r="TX16" i="1"/>
  <c r="K24" i="1"/>
  <c r="L24" i="1" s="1"/>
  <c r="VB24" i="1" s="1"/>
  <c r="K48" i="1"/>
  <c r="L48" i="1" s="1"/>
  <c r="V10" i="4"/>
  <c r="U24" i="1"/>
  <c r="V24" i="1" s="1"/>
  <c r="VH24" i="1" s="1"/>
  <c r="U48" i="1"/>
  <c r="V48" i="1" s="1"/>
  <c r="DG43" i="1"/>
  <c r="DN43" i="1" s="1"/>
  <c r="O31" i="22" s="1"/>
  <c r="RG48" i="1"/>
  <c r="RP31" i="1"/>
  <c r="RQ31" i="1" s="1"/>
  <c r="RR31" i="1" s="1"/>
  <c r="RS31" i="1" s="1"/>
  <c r="RT31" i="1" s="1"/>
  <c r="RU31" i="1" s="1"/>
  <c r="RV31" i="1" s="1"/>
  <c r="RP34" i="1"/>
  <c r="RQ34" i="1" s="1"/>
  <c r="RR34" i="1" s="1"/>
  <c r="RS34" i="1" s="1"/>
  <c r="RT34" i="1" s="1"/>
  <c r="RU34" i="1" s="1"/>
  <c r="RV34" i="1" s="1"/>
  <c r="RP32" i="1"/>
  <c r="RQ32" i="1" s="1"/>
  <c r="RR32" i="1" s="1"/>
  <c r="RS32" i="1" s="1"/>
  <c r="RT32" i="1" s="1"/>
  <c r="RU32" i="1" s="1"/>
  <c r="RV32" i="1" s="1"/>
  <c r="T13" i="4"/>
  <c r="G9" i="1"/>
  <c r="T16" i="4"/>
  <c r="T12" i="4"/>
  <c r="ML9" i="1"/>
  <c r="KI9" i="1"/>
  <c r="LU11" i="1" s="1"/>
  <c r="FE9" i="1"/>
  <c r="RX48" i="1"/>
  <c r="SC48" i="1" s="1"/>
  <c r="SG48" i="1" s="1"/>
  <c r="JY47" i="1"/>
  <c r="JY46" i="1"/>
  <c r="RX34" i="1"/>
  <c r="SC34" i="1" s="1"/>
  <c r="SG34" i="1" s="1"/>
  <c r="RX31" i="1"/>
  <c r="SC31" i="1" s="1"/>
  <c r="SG31" i="1" s="1"/>
  <c r="RX32" i="1"/>
  <c r="SC32" i="1" s="1"/>
  <c r="SG32" i="1" s="1"/>
  <c r="EC27" i="1"/>
  <c r="EF27" i="1" s="1"/>
  <c r="EG27" i="1" s="1"/>
  <c r="DF25" i="1"/>
  <c r="DF27" i="1"/>
  <c r="JY44" i="1"/>
  <c r="JY45" i="1"/>
  <c r="AO21" i="1"/>
  <c r="AO22" i="1"/>
  <c r="AP22" i="1" s="1"/>
  <c r="AO23" i="1"/>
  <c r="AO24" i="1"/>
  <c r="AP24" i="1" s="1"/>
  <c r="EQ31" i="1"/>
  <c r="EQ38" i="1"/>
  <c r="EQ35" i="1"/>
  <c r="EQ30" i="1"/>
  <c r="EQ41" i="1"/>
  <c r="EQ34" i="1"/>
  <c r="EQ36" i="1"/>
  <c r="EQ47" i="1"/>
  <c r="EQ44" i="1"/>
  <c r="EQ32" i="1"/>
  <c r="EQ45" i="1"/>
  <c r="EQ43" i="1"/>
  <c r="EQ48" i="1"/>
  <c r="EQ39" i="1"/>
  <c r="EQ26" i="1"/>
  <c r="EQ42" i="1"/>
  <c r="EQ33" i="1"/>
  <c r="EQ29" i="1"/>
  <c r="EQ37" i="1"/>
  <c r="EQ28" i="1"/>
  <c r="EQ46" i="1"/>
  <c r="T9" i="4"/>
  <c r="V9" i="4"/>
  <c r="AE21" i="1"/>
  <c r="AE22" i="1"/>
  <c r="AE23" i="1"/>
  <c r="AF23" i="1" s="1"/>
  <c r="S6" i="4"/>
  <c r="AY25" i="1" s="1"/>
  <c r="AZ25" i="1" s="1"/>
  <c r="V6" i="4"/>
  <c r="T8" i="4"/>
  <c r="V8" i="4"/>
  <c r="CS4" i="1"/>
  <c r="AY22" i="1"/>
  <c r="VD35" i="1"/>
  <c r="VD41" i="1"/>
  <c r="VD26" i="1"/>
  <c r="VD36" i="1"/>
  <c r="VD38" i="1"/>
  <c r="VD47" i="1"/>
  <c r="VD25" i="1"/>
  <c r="VJ28" i="1"/>
  <c r="VD33" i="1"/>
  <c r="VD28" i="1"/>
  <c r="VJ39" i="1"/>
  <c r="VJ37" i="1"/>
  <c r="VJ47" i="1"/>
  <c r="VD45" i="1"/>
  <c r="VD30" i="1"/>
  <c r="VJ40" i="1"/>
  <c r="VJ41" i="1"/>
  <c r="VJ44" i="1"/>
  <c r="VJ31" i="1"/>
  <c r="VJ46" i="1"/>
  <c r="VD34" i="1"/>
  <c r="VD46" i="1"/>
  <c r="VD29" i="1"/>
  <c r="VD42" i="1"/>
  <c r="VD43" i="1"/>
  <c r="VJ27" i="1"/>
  <c r="VD44" i="1"/>
  <c r="VJ38" i="1"/>
  <c r="VJ26" i="1"/>
  <c r="VD37" i="1"/>
  <c r="VD39" i="1"/>
  <c r="VD31" i="1"/>
  <c r="VD32" i="1"/>
  <c r="VJ42" i="1"/>
  <c r="VJ29" i="1"/>
  <c r="VD27" i="1"/>
  <c r="VJ25" i="1"/>
  <c r="VJ32" i="1"/>
  <c r="VJ36" i="1"/>
  <c r="VJ33" i="1"/>
  <c r="VJ45" i="1"/>
  <c r="VJ35" i="1"/>
  <c r="VJ34" i="1"/>
  <c r="VJ43" i="1"/>
  <c r="VJ30" i="1"/>
  <c r="U22" i="1"/>
  <c r="V22" i="1" s="1"/>
  <c r="U23" i="1"/>
  <c r="U21" i="1"/>
  <c r="K21" i="1"/>
  <c r="K23" i="1"/>
  <c r="L23" i="1" s="1"/>
  <c r="K22" i="1"/>
  <c r="UF47" i="1"/>
  <c r="UF26" i="1"/>
  <c r="UF40" i="1"/>
  <c r="UF46" i="1"/>
  <c r="UF29" i="1"/>
  <c r="UF34" i="1"/>
  <c r="UF48" i="1"/>
  <c r="UF31" i="1"/>
  <c r="UF36" i="1"/>
  <c r="UF37" i="1"/>
  <c r="UF42" i="1"/>
  <c r="UF25" i="1"/>
  <c r="UF30" i="1"/>
  <c r="UF35" i="1"/>
  <c r="UF41" i="1"/>
  <c r="UF28" i="1"/>
  <c r="UF43" i="1"/>
  <c r="UF39" i="1"/>
  <c r="UF44" i="1"/>
  <c r="UF45" i="1"/>
  <c r="UF27" i="1"/>
  <c r="UF32" i="1"/>
  <c r="UF33" i="1"/>
  <c r="UF38" i="1"/>
  <c r="TZ48" i="1"/>
  <c r="TZ33" i="1"/>
  <c r="TZ29" i="1"/>
  <c r="TZ30" i="1"/>
  <c r="TZ47" i="1"/>
  <c r="TZ35" i="1"/>
  <c r="TZ31" i="1"/>
  <c r="TZ26" i="1"/>
  <c r="TZ36" i="1"/>
  <c r="TZ45" i="1"/>
  <c r="TZ39" i="1"/>
  <c r="TZ34" i="1"/>
  <c r="TZ37" i="1"/>
  <c r="TZ43" i="1"/>
  <c r="TZ38" i="1"/>
  <c r="TZ27" i="1"/>
  <c r="TZ32" i="1"/>
  <c r="TZ42" i="1"/>
  <c r="TZ44" i="1"/>
  <c r="TZ46" i="1"/>
  <c r="TZ41" i="1"/>
  <c r="TZ28" i="1"/>
  <c r="U19" i="1"/>
  <c r="U20" i="1"/>
  <c r="T5" i="4"/>
  <c r="AE20" i="1"/>
  <c r="AF20" i="1" s="1"/>
  <c r="AE19" i="1"/>
  <c r="AF19" i="1" s="1"/>
  <c r="KW21" i="1"/>
  <c r="KW19" i="1"/>
  <c r="KW20" i="1"/>
  <c r="KX20" i="1" s="1"/>
  <c r="AO20" i="1"/>
  <c r="AP20" i="1" s="1"/>
  <c r="AO19" i="1"/>
  <c r="AP19" i="1" s="1"/>
  <c r="T4" i="4"/>
  <c r="AH25" i="1" s="1"/>
  <c r="AI25" i="1" s="1"/>
  <c r="L42" i="18" s="1"/>
  <c r="U9" i="4"/>
  <c r="EA4" i="1" s="1"/>
  <c r="T26" i="4"/>
  <c r="T3" i="4"/>
  <c r="U8" i="4"/>
  <c r="DZ4" i="1" s="1"/>
  <c r="T19" i="4"/>
  <c r="U6" i="4"/>
  <c r="K19" i="1"/>
  <c r="L19" i="1" s="1"/>
  <c r="K20" i="1"/>
  <c r="L20" i="1" s="1"/>
  <c r="U10" i="4"/>
  <c r="EB4" i="1" s="1"/>
  <c r="S13" i="4"/>
  <c r="S9" i="4"/>
  <c r="CC25" i="1" s="1"/>
  <c r="T15" i="4"/>
  <c r="T6" i="4"/>
  <c r="S16" i="4"/>
  <c r="S12" i="4"/>
  <c r="S8" i="4"/>
  <c r="T14" i="4"/>
  <c r="T10" i="4"/>
  <c r="S10" i="4"/>
  <c r="AP23" i="1"/>
  <c r="V23" i="1"/>
  <c r="KX23" i="1"/>
  <c r="KX41" i="1"/>
  <c r="L21" i="1"/>
  <c r="AF24" i="1"/>
  <c r="KX21" i="1"/>
  <c r="V20" i="1"/>
  <c r="AF22" i="1"/>
  <c r="CD25" i="1"/>
  <c r="AP21" i="1"/>
  <c r="AZ22" i="1"/>
  <c r="AF21" i="1"/>
  <c r="V21" i="1"/>
  <c r="KX26" i="1"/>
  <c r="L22" i="1"/>
  <c r="V19" i="1"/>
  <c r="KX19" i="1"/>
  <c r="DE27" i="1"/>
  <c r="CT30" i="1"/>
  <c r="PY41" i="1"/>
  <c r="QR33" i="1"/>
  <c r="EI47" i="1"/>
  <c r="EI33" i="1"/>
  <c r="EI30" i="1"/>
  <c r="QR43" i="1"/>
  <c r="EI35" i="1"/>
  <c r="PY48" i="1"/>
  <c r="DD36" i="1"/>
  <c r="QR32" i="1"/>
  <c r="EI37" i="1"/>
  <c r="CT42" i="1"/>
  <c r="DE45" i="1"/>
  <c r="QR46" i="1"/>
  <c r="DE42" i="1"/>
  <c r="QR44" i="1"/>
  <c r="EI42" i="1"/>
  <c r="PY35" i="1"/>
  <c r="PY34" i="1"/>
  <c r="DE32" i="1"/>
  <c r="QR47" i="1"/>
  <c r="CT32" i="1"/>
  <c r="CT41" i="1"/>
  <c r="DD47" i="1"/>
  <c r="DE44" i="1"/>
  <c r="EI41" i="1"/>
  <c r="DD30" i="1"/>
  <c r="DE47" i="1"/>
  <c r="DD45" i="1"/>
  <c r="QR41" i="1"/>
  <c r="CS26" i="1"/>
  <c r="EI36" i="1"/>
  <c r="DD39" i="1"/>
  <c r="DD38" i="1"/>
  <c r="CT43" i="1"/>
  <c r="DE34" i="1"/>
  <c r="CS36" i="1"/>
  <c r="DE36" i="1"/>
  <c r="EI29" i="1"/>
  <c r="DE41" i="1"/>
  <c r="EI34" i="1"/>
  <c r="DD25" i="1"/>
  <c r="DE31" i="1"/>
  <c r="CT36" i="1"/>
  <c r="EI28" i="1"/>
  <c r="DD29" i="1"/>
  <c r="DE33" i="1"/>
  <c r="DE39" i="1"/>
  <c r="PY44" i="1"/>
  <c r="PY43" i="1"/>
  <c r="QR31" i="1"/>
  <c r="DD44" i="1"/>
  <c r="PY32" i="1"/>
  <c r="DD33" i="1"/>
  <c r="CT33" i="1"/>
  <c r="PY45" i="1"/>
  <c r="DE28" i="1"/>
  <c r="CS42" i="1"/>
  <c r="CT25" i="1"/>
  <c r="CS31" i="1"/>
  <c r="EI44" i="1"/>
  <c r="DE40" i="1"/>
  <c r="EI39" i="1"/>
  <c r="EI43" i="1"/>
  <c r="CT28" i="1"/>
  <c r="DD35" i="1"/>
  <c r="DD26" i="1"/>
  <c r="EI26" i="1"/>
  <c r="EI46" i="1"/>
  <c r="CT35" i="1"/>
  <c r="DE46" i="1"/>
  <c r="DD46" i="1"/>
  <c r="QR34" i="1"/>
  <c r="DE48" i="1"/>
  <c r="DE35" i="1"/>
  <c r="DD37" i="1"/>
  <c r="PY36" i="1"/>
  <c r="QR35" i="1"/>
  <c r="DE38" i="1"/>
  <c r="DE26" i="1"/>
  <c r="QR45" i="1"/>
  <c r="CT29" i="1"/>
  <c r="DD34" i="1"/>
  <c r="PY46" i="1"/>
  <c r="CT39" i="1"/>
  <c r="DD41" i="1"/>
  <c r="EI45" i="1"/>
  <c r="DD27" i="1"/>
  <c r="CT27" i="1"/>
  <c r="DE25" i="1"/>
  <c r="CS33" i="1"/>
  <c r="DD42" i="1"/>
  <c r="CT37" i="1"/>
  <c r="CT34" i="1"/>
  <c r="CT38" i="1"/>
  <c r="CT45" i="1"/>
  <c r="EI32" i="1"/>
  <c r="CT47" i="1"/>
  <c r="PY31" i="1"/>
  <c r="EI31" i="1"/>
  <c r="PY47" i="1"/>
  <c r="CT40" i="1"/>
  <c r="DE37" i="1"/>
  <c r="DD48" i="1"/>
  <c r="PY33" i="1"/>
  <c r="DD31" i="1"/>
  <c r="DD28" i="1"/>
  <c r="CT31" i="1"/>
  <c r="DE29" i="1"/>
  <c r="QR48" i="1"/>
  <c r="QR36" i="1"/>
  <c r="CT44" i="1"/>
  <c r="CT46" i="1"/>
  <c r="DD32" i="1"/>
  <c r="EI38" i="1"/>
  <c r="TZ25" i="1" l="1"/>
  <c r="CF25" i="1"/>
  <c r="KZ41" i="1"/>
  <c r="LA41" i="1" s="1"/>
  <c r="LN43" i="1"/>
  <c r="KZ43" i="1"/>
  <c r="LA43" i="1" s="1"/>
  <c r="AR60" i="18" s="1"/>
  <c r="BB25" i="1"/>
  <c r="BC25" i="1" s="1"/>
  <c r="P42" i="18" s="1"/>
  <c r="TX24" i="1"/>
  <c r="KA45" i="1"/>
  <c r="KG45" i="1" s="1"/>
  <c r="KA47" i="1"/>
  <c r="KG47" i="1" s="1"/>
  <c r="SA47" i="1" s="1"/>
  <c r="SE47" i="1" s="1"/>
  <c r="KA44" i="1"/>
  <c r="KG44" i="1" s="1"/>
  <c r="KA46" i="1"/>
  <c r="KG46" i="1" s="1"/>
  <c r="SA46" i="1" s="1"/>
  <c r="SE46" i="1" s="1"/>
  <c r="AH24" i="1"/>
  <c r="AI24" i="1" s="1"/>
  <c r="VD40" i="1"/>
  <c r="BS48" i="1"/>
  <c r="BT48" i="1" s="1"/>
  <c r="DZ48" i="1" s="1"/>
  <c r="BS40" i="1"/>
  <c r="BT40" i="1" s="1"/>
  <c r="AY19" i="1"/>
  <c r="AY40" i="1"/>
  <c r="AZ40" i="1" s="1"/>
  <c r="DF40" i="1"/>
  <c r="EQ40" i="1" s="1"/>
  <c r="AH40" i="1"/>
  <c r="AI40" i="1" s="1"/>
  <c r="TX40" i="1"/>
  <c r="DH43" i="1"/>
  <c r="I31" i="22" s="1"/>
  <c r="CM48" i="1"/>
  <c r="CN48" i="1" s="1"/>
  <c r="EB48" i="1" s="1"/>
  <c r="CM23" i="1"/>
  <c r="CC48" i="1"/>
  <c r="CD48" i="1" s="1"/>
  <c r="CF48" i="1" s="1"/>
  <c r="CG48" i="1" s="1"/>
  <c r="V65" i="18" s="1"/>
  <c r="CC23" i="1"/>
  <c r="CD23" i="1" s="1"/>
  <c r="EL31" i="1"/>
  <c r="EL47" i="1"/>
  <c r="EL29" i="1"/>
  <c r="EL39" i="1"/>
  <c r="EL35" i="1"/>
  <c r="EL37" i="1"/>
  <c r="EL28" i="1"/>
  <c r="EL32" i="1"/>
  <c r="EL30" i="1"/>
  <c r="EL43" i="1"/>
  <c r="EL42" i="1"/>
  <c r="EL36" i="1"/>
  <c r="EL44" i="1"/>
  <c r="EL34" i="1"/>
  <c r="EL46" i="1"/>
  <c r="EL38" i="1"/>
  <c r="EL26" i="1"/>
  <c r="EL41" i="1"/>
  <c r="EL33" i="1"/>
  <c r="EL45" i="1"/>
  <c r="KZ27" i="1"/>
  <c r="LA27" i="1" s="1"/>
  <c r="KZ23" i="1"/>
  <c r="LA23" i="1" s="1"/>
  <c r="KZ22" i="1"/>
  <c r="LA22" i="1" s="1"/>
  <c r="KZ24" i="1"/>
  <c r="LA24" i="1" s="1"/>
  <c r="KZ34" i="1"/>
  <c r="LA34" i="1" s="1"/>
  <c r="KZ33" i="1"/>
  <c r="LA33" i="1" s="1"/>
  <c r="LN28" i="1"/>
  <c r="KZ28" i="1"/>
  <c r="LA28" i="1" s="1"/>
  <c r="AR45" i="18" s="1"/>
  <c r="KZ26" i="1"/>
  <c r="LA26" i="1" s="1"/>
  <c r="LN30" i="1"/>
  <c r="KZ30" i="1"/>
  <c r="LA30" i="1" s="1"/>
  <c r="AR47" i="18" s="1"/>
  <c r="KZ25" i="1"/>
  <c r="LA25" i="1" s="1"/>
  <c r="AR42" i="18" s="1"/>
  <c r="LN25" i="1"/>
  <c r="EJ47" i="1"/>
  <c r="EJ26" i="1"/>
  <c r="EJ35" i="1"/>
  <c r="EJ30" i="1"/>
  <c r="EJ33" i="1"/>
  <c r="EJ38" i="1"/>
  <c r="EJ39" i="1"/>
  <c r="EJ32" i="1"/>
  <c r="EJ44" i="1"/>
  <c r="EJ42" i="1"/>
  <c r="EJ46" i="1"/>
  <c r="EJ41" i="1"/>
  <c r="EJ31" i="1"/>
  <c r="EJ45" i="1"/>
  <c r="EJ28" i="1"/>
  <c r="EJ34" i="1"/>
  <c r="EJ37" i="1"/>
  <c r="EJ36" i="1"/>
  <c r="EJ43" i="1"/>
  <c r="EJ29" i="1"/>
  <c r="W15" i="22"/>
  <c r="SN31" i="1"/>
  <c r="CY19" i="22"/>
  <c r="DA19" i="22" s="1"/>
  <c r="SN32" i="1"/>
  <c r="CY20" i="22"/>
  <c r="DA20" i="22" s="1"/>
  <c r="SN34" i="1"/>
  <c r="CY22" i="22"/>
  <c r="DA22" i="22" s="1"/>
  <c r="SN48" i="1"/>
  <c r="CY36" i="22"/>
  <c r="DA36" i="22" s="1"/>
  <c r="N24" i="1"/>
  <c r="O24" i="1" s="1"/>
  <c r="VD24" i="1" s="1"/>
  <c r="X24" i="1"/>
  <c r="Y24" i="1" s="1"/>
  <c r="VJ24" i="1" s="1"/>
  <c r="VB48" i="1"/>
  <c r="N48" i="1"/>
  <c r="O48" i="1" s="1"/>
  <c r="VH48" i="1"/>
  <c r="X48" i="1"/>
  <c r="Y48" i="1" s="1"/>
  <c r="DG28" i="1"/>
  <c r="DN28" i="1" s="1"/>
  <c r="O16" i="22" s="1"/>
  <c r="DG31" i="1"/>
  <c r="DN31" i="1" s="1"/>
  <c r="O19" i="22" s="1"/>
  <c r="DG42" i="1"/>
  <c r="DN42" i="1" s="1"/>
  <c r="O30" i="22" s="1"/>
  <c r="DG45" i="1"/>
  <c r="DN45" i="1" s="1"/>
  <c r="O33" i="22" s="1"/>
  <c r="DG32" i="1"/>
  <c r="DN32" i="1" s="1"/>
  <c r="O20" i="22" s="1"/>
  <c r="DG44" i="1"/>
  <c r="DN44" i="1" s="1"/>
  <c r="O32" i="22" s="1"/>
  <c r="DG29" i="1"/>
  <c r="DN29" i="1" s="1"/>
  <c r="O17" i="22" s="1"/>
  <c r="DG41" i="1"/>
  <c r="DN41" i="1" s="1"/>
  <c r="O29" i="22" s="1"/>
  <c r="DG48" i="1"/>
  <c r="DN48" i="1" s="1"/>
  <c r="O36" i="22" s="1"/>
  <c r="DG36" i="1"/>
  <c r="DN36" i="1" s="1"/>
  <c r="O24" i="22" s="1"/>
  <c r="DG38" i="1"/>
  <c r="DN38" i="1" s="1"/>
  <c r="O26" i="22" s="1"/>
  <c r="DG46" i="1"/>
  <c r="DN46" i="1" s="1"/>
  <c r="O34" i="22" s="1"/>
  <c r="DG26" i="1"/>
  <c r="DN26" i="1" s="1"/>
  <c r="O14" i="22" s="1"/>
  <c r="DG34" i="1"/>
  <c r="DN34" i="1" s="1"/>
  <c r="O22" i="22" s="1"/>
  <c r="DG47" i="1"/>
  <c r="DN47" i="1" s="1"/>
  <c r="O35" i="22" s="1"/>
  <c r="DG35" i="1"/>
  <c r="DN35" i="1" s="1"/>
  <c r="O23" i="22" s="1"/>
  <c r="DG39" i="1"/>
  <c r="DN39" i="1" s="1"/>
  <c r="O27" i="22" s="1"/>
  <c r="DG33" i="1"/>
  <c r="DN33" i="1" s="1"/>
  <c r="O21" i="22" s="1"/>
  <c r="DG30" i="1"/>
  <c r="DN30" i="1" s="1"/>
  <c r="O18" i="22" s="1"/>
  <c r="DG37" i="1"/>
  <c r="DN37" i="1" s="1"/>
  <c r="O25" i="22" s="1"/>
  <c r="EQ27" i="1"/>
  <c r="DG27" i="1"/>
  <c r="DN27" i="1" s="1"/>
  <c r="O15" i="22" s="1"/>
  <c r="EQ25" i="1"/>
  <c r="DG25" i="1"/>
  <c r="DN25" i="1" s="1"/>
  <c r="O13" i="22" s="1"/>
  <c r="CV42" i="1"/>
  <c r="CW42" i="1" s="1"/>
  <c r="B30" i="22" s="1"/>
  <c r="CV36" i="1"/>
  <c r="CW36" i="1" s="1"/>
  <c r="B24" i="22" s="1"/>
  <c r="CV33" i="1"/>
  <c r="CW33" i="1" s="1"/>
  <c r="B21" i="22" s="1"/>
  <c r="CV26" i="1"/>
  <c r="CW26" i="1" s="1"/>
  <c r="B14" i="22" s="1"/>
  <c r="CV31" i="1"/>
  <c r="CW31" i="1" s="1"/>
  <c r="B19" i="22" s="1"/>
  <c r="RL48" i="1"/>
  <c r="RH48" i="1"/>
  <c r="RM48" i="1" s="1"/>
  <c r="CU48" i="1"/>
  <c r="CU25" i="1"/>
  <c r="CU24" i="1"/>
  <c r="CU27" i="1"/>
  <c r="AY21" i="1"/>
  <c r="AZ21" i="1" s="1"/>
  <c r="BS21" i="1"/>
  <c r="BS22" i="1"/>
  <c r="BT22" i="1" s="1"/>
  <c r="BS23" i="1"/>
  <c r="BT23" i="1" s="1"/>
  <c r="BS24" i="1"/>
  <c r="BT24" i="1" s="1"/>
  <c r="UD24" i="1"/>
  <c r="AR24" i="1"/>
  <c r="AS24" i="1" s="1"/>
  <c r="N41" i="18" s="1"/>
  <c r="CM21" i="1"/>
  <c r="CM22" i="1"/>
  <c r="CN22" i="1" s="1"/>
  <c r="AY23" i="1"/>
  <c r="AZ23" i="1" s="1"/>
  <c r="AY24" i="1"/>
  <c r="AZ24" i="1" s="1"/>
  <c r="UD23" i="1"/>
  <c r="AR23" i="1"/>
  <c r="AS23" i="1" s="1"/>
  <c r="CC21" i="1"/>
  <c r="CC24" i="1"/>
  <c r="CD24" i="1" s="1"/>
  <c r="CC22" i="1"/>
  <c r="AY20" i="1"/>
  <c r="AZ20" i="1" s="1"/>
  <c r="UD22" i="1"/>
  <c r="AR22" i="1"/>
  <c r="AS22" i="1" s="1"/>
  <c r="ES27" i="1"/>
  <c r="ES47" i="1"/>
  <c r="ES34" i="1"/>
  <c r="ES38" i="1"/>
  <c r="ES37" i="1"/>
  <c r="ES28" i="1"/>
  <c r="ES42" i="1"/>
  <c r="ES44" i="1"/>
  <c r="ES35" i="1"/>
  <c r="ES45" i="1"/>
  <c r="ES43" i="1"/>
  <c r="ES41" i="1"/>
  <c r="ES33" i="1"/>
  <c r="ES30" i="1"/>
  <c r="ES29" i="1"/>
  <c r="ES32" i="1"/>
  <c r="ES31" i="1"/>
  <c r="ES36" i="1"/>
  <c r="ES46" i="1"/>
  <c r="ES39" i="1"/>
  <c r="ES26" i="1"/>
  <c r="EP31" i="1"/>
  <c r="EP29" i="1"/>
  <c r="EP39" i="1"/>
  <c r="EP43" i="1"/>
  <c r="EP34" i="1"/>
  <c r="EP38" i="1"/>
  <c r="EP42" i="1"/>
  <c r="EP47" i="1"/>
  <c r="EP44" i="1"/>
  <c r="EP30" i="1"/>
  <c r="EP33" i="1"/>
  <c r="EP32" i="1"/>
  <c r="EP40" i="1"/>
  <c r="EP36" i="1"/>
  <c r="EP26" i="1"/>
  <c r="EP37" i="1"/>
  <c r="EP28" i="1"/>
  <c r="EP46" i="1"/>
  <c r="EP35" i="1"/>
  <c r="EP45" i="1"/>
  <c r="EP41" i="1"/>
  <c r="AH22" i="1"/>
  <c r="AI22" i="1" s="1"/>
  <c r="TX22" i="1"/>
  <c r="TX23" i="1"/>
  <c r="AH23" i="1"/>
  <c r="AI23" i="1" s="1"/>
  <c r="BB22" i="1"/>
  <c r="BC22" i="1" s="1"/>
  <c r="VH23" i="1"/>
  <c r="X23" i="1"/>
  <c r="Y23" i="1" s="1"/>
  <c r="VB23" i="1"/>
  <c r="N23" i="1"/>
  <c r="O23" i="1" s="1"/>
  <c r="CC20" i="1"/>
  <c r="CD20" i="1" s="1"/>
  <c r="CC19" i="1"/>
  <c r="CD19" i="1" s="1"/>
  <c r="BS20" i="1"/>
  <c r="BT20" i="1" s="1"/>
  <c r="BS19" i="1"/>
  <c r="BT19" i="1" s="1"/>
  <c r="CM20" i="1"/>
  <c r="CN20" i="1" s="1"/>
  <c r="CM19" i="1"/>
  <c r="KZ19" i="1"/>
  <c r="LA19" i="1" s="1"/>
  <c r="KZ20" i="1"/>
  <c r="LA20" i="1" s="1"/>
  <c r="CN23" i="1"/>
  <c r="AZ19" i="1"/>
  <c r="CD21" i="1"/>
  <c r="BT21" i="1"/>
  <c r="CG25" i="1"/>
  <c r="CN21" i="1"/>
  <c r="CD22" i="1"/>
  <c r="CN19" i="1"/>
  <c r="EK32" i="1"/>
  <c r="CS28" i="1"/>
  <c r="X21" i="22"/>
  <c r="EM39" i="1"/>
  <c r="CS34" i="1"/>
  <c r="DB24" i="22"/>
  <c r="EM34" i="1"/>
  <c r="EM26" i="1"/>
  <c r="EM29" i="1"/>
  <c r="X24" i="22"/>
  <c r="DB33" i="22"/>
  <c r="X33" i="22"/>
  <c r="EK33" i="1"/>
  <c r="DB34" i="22"/>
  <c r="EM28" i="1"/>
  <c r="EM37" i="1"/>
  <c r="X22" i="22"/>
  <c r="DB31" i="22"/>
  <c r="DB29" i="22"/>
  <c r="EM38" i="1"/>
  <c r="EK39" i="1"/>
  <c r="X34" i="22"/>
  <c r="CS44" i="1"/>
  <c r="X35" i="22"/>
  <c r="X30" i="22"/>
  <c r="C19" i="22"/>
  <c r="J31" i="22"/>
  <c r="EM32" i="1"/>
  <c r="DL27" i="1"/>
  <c r="DL43" i="1"/>
  <c r="DJ43" i="1"/>
  <c r="CS39" i="1"/>
  <c r="EK47" i="1"/>
  <c r="EK44" i="1"/>
  <c r="DL39" i="1"/>
  <c r="CS46" i="1"/>
  <c r="CS40" i="1"/>
  <c r="CS43" i="1"/>
  <c r="EK36" i="1"/>
  <c r="DL29" i="1"/>
  <c r="EM31" i="1"/>
  <c r="EK38" i="1"/>
  <c r="CS27" i="1"/>
  <c r="EK29" i="1"/>
  <c r="CS29" i="1"/>
  <c r="DL42" i="1"/>
  <c r="DL36" i="1"/>
  <c r="CS32" i="1"/>
  <c r="EK42" i="1"/>
  <c r="DL33" i="1"/>
  <c r="CS45" i="1"/>
  <c r="CS48" i="1"/>
  <c r="X14" i="22"/>
  <c r="EK31" i="1"/>
  <c r="EK37" i="1"/>
  <c r="X19" i="22"/>
  <c r="EK46" i="1"/>
  <c r="DE24" i="1"/>
  <c r="CS35" i="1"/>
  <c r="X26" i="22"/>
  <c r="CS24" i="1"/>
  <c r="X17" i="22"/>
  <c r="EM36" i="1"/>
  <c r="EK41" i="1"/>
  <c r="EM43" i="1"/>
  <c r="EK30" i="1"/>
  <c r="DB23" i="22"/>
  <c r="DL31" i="1"/>
  <c r="EK28" i="1"/>
  <c r="DL26" i="1"/>
  <c r="CS47" i="1"/>
  <c r="C21" i="22"/>
  <c r="X18" i="22"/>
  <c r="CS30" i="1"/>
  <c r="C30" i="22"/>
  <c r="CS25" i="1"/>
  <c r="CT48" i="1"/>
  <c r="X32" i="22"/>
  <c r="DB21" i="22"/>
  <c r="X16" i="22"/>
  <c r="DD40" i="1"/>
  <c r="EK35" i="1"/>
  <c r="EK34" i="1"/>
  <c r="CS38" i="1"/>
  <c r="EM44" i="1"/>
  <c r="EM30" i="1"/>
  <c r="DB35" i="22"/>
  <c r="X27" i="22"/>
  <c r="EK45" i="1"/>
  <c r="CS41" i="1"/>
  <c r="EM45" i="1"/>
  <c r="DL48" i="1"/>
  <c r="X20" i="22"/>
  <c r="DL28" i="1"/>
  <c r="EM41" i="1"/>
  <c r="EM42" i="1"/>
  <c r="EI27" i="1"/>
  <c r="EM47" i="1"/>
  <c r="X25" i="22"/>
  <c r="DL30" i="1"/>
  <c r="C14" i="22"/>
  <c r="DB32" i="22"/>
  <c r="EK26" i="1"/>
  <c r="DL32" i="1"/>
  <c r="X23" i="22"/>
  <c r="EM33" i="1"/>
  <c r="EM46" i="1"/>
  <c r="EM35" i="1"/>
  <c r="CS37" i="1"/>
  <c r="X31" i="22"/>
  <c r="EK43" i="1"/>
  <c r="CT24" i="1"/>
  <c r="X29" i="22"/>
  <c r="C24" i="22"/>
  <c r="AR58" i="18" l="1"/>
  <c r="LN41" i="1"/>
  <c r="V42" i="18"/>
  <c r="EA25" i="1"/>
  <c r="KD45" i="1"/>
  <c r="KE45" i="1" s="1"/>
  <c r="KC45" i="1"/>
  <c r="KD44" i="1"/>
  <c r="KE44" i="1" s="1"/>
  <c r="AR43" i="18"/>
  <c r="LN26" i="1"/>
  <c r="TZ24" i="1"/>
  <c r="L39" i="18"/>
  <c r="KB45" i="1"/>
  <c r="KB46" i="1"/>
  <c r="KD47" i="1"/>
  <c r="KE47" i="1" s="1"/>
  <c r="KB47" i="1"/>
  <c r="KD46" i="1"/>
  <c r="KE46" i="1" s="1"/>
  <c r="KC46" i="1"/>
  <c r="KC47" i="1"/>
  <c r="KC44" i="1"/>
  <c r="KB44" i="1"/>
  <c r="BB19" i="1"/>
  <c r="BC19" i="1" s="1"/>
  <c r="AC21" i="22"/>
  <c r="AC34" i="22"/>
  <c r="AC30" i="22"/>
  <c r="AC16" i="22"/>
  <c r="AC17" i="22"/>
  <c r="AC29" i="22"/>
  <c r="AC22" i="22"/>
  <c r="AC31" i="22"/>
  <c r="AC25" i="22"/>
  <c r="AC35" i="22"/>
  <c r="AC14" i="22"/>
  <c r="AC32" i="22"/>
  <c r="AC18" i="22"/>
  <c r="AC23" i="22"/>
  <c r="AC19" i="22"/>
  <c r="AC33" i="22"/>
  <c r="AC26" i="22"/>
  <c r="AC24" i="22"/>
  <c r="AC20" i="22"/>
  <c r="AC27" i="22"/>
  <c r="BV48" i="1"/>
  <c r="BW48" i="1" s="1"/>
  <c r="T65" i="18" s="1"/>
  <c r="L41" i="18"/>
  <c r="DG40" i="1"/>
  <c r="BB40" i="1"/>
  <c r="BC40" i="1" s="1"/>
  <c r="P57" i="18" s="1"/>
  <c r="DQ40" i="1"/>
  <c r="L57" i="18"/>
  <c r="TZ40" i="1"/>
  <c r="DZ40" i="1"/>
  <c r="BV40" i="1"/>
  <c r="BW40" i="1" s="1"/>
  <c r="T57" i="18" s="1"/>
  <c r="EA48" i="1"/>
  <c r="EE48" i="1" s="1"/>
  <c r="K31" i="22"/>
  <c r="DH39" i="1"/>
  <c r="DH26" i="1"/>
  <c r="DH36" i="1"/>
  <c r="DH44" i="1"/>
  <c r="DH31" i="1"/>
  <c r="DH25" i="1"/>
  <c r="DH37" i="1"/>
  <c r="DH35" i="1"/>
  <c r="DH46" i="1"/>
  <c r="DH48" i="1"/>
  <c r="DH32" i="1"/>
  <c r="DH28" i="1"/>
  <c r="DH30" i="1"/>
  <c r="DH47" i="1"/>
  <c r="DH38" i="1"/>
  <c r="DH41" i="1"/>
  <c r="DH45" i="1"/>
  <c r="DH27" i="1"/>
  <c r="I15" i="22" s="1"/>
  <c r="DH33" i="1"/>
  <c r="I21" i="22" s="1"/>
  <c r="DH34" i="1"/>
  <c r="I22" i="22" s="1"/>
  <c r="DH29" i="1"/>
  <c r="I17" i="22" s="1"/>
  <c r="DH42" i="1"/>
  <c r="I30" i="22" s="1"/>
  <c r="CP48" i="1"/>
  <c r="CQ48" i="1" s="1"/>
  <c r="X65" i="18" s="1"/>
  <c r="CF23" i="1"/>
  <c r="CG23" i="1" s="1"/>
  <c r="CP23" i="1"/>
  <c r="CQ23" i="1" s="1"/>
  <c r="DK43" i="1"/>
  <c r="DM43" i="1"/>
  <c r="EL27" i="1"/>
  <c r="CV47" i="1"/>
  <c r="CW47" i="1" s="1"/>
  <c r="Y25" i="22"/>
  <c r="Y19" i="22"/>
  <c r="Y32" i="22"/>
  <c r="Y21" i="22"/>
  <c r="Y35" i="22"/>
  <c r="Y24" i="22"/>
  <c r="Y33" i="22"/>
  <c r="Y20" i="22"/>
  <c r="Y18" i="22"/>
  <c r="Y31" i="22"/>
  <c r="Y16" i="22"/>
  <c r="Y34" i="22"/>
  <c r="Y27" i="22"/>
  <c r="Y23" i="22"/>
  <c r="Y17" i="22"/>
  <c r="Y22" i="22"/>
  <c r="Y29" i="22"/>
  <c r="Y30" i="22"/>
  <c r="Y26" i="22"/>
  <c r="Y14" i="22"/>
  <c r="D19" i="22"/>
  <c r="D30" i="22"/>
  <c r="D14" i="22"/>
  <c r="D21" i="22"/>
  <c r="D24" i="22"/>
  <c r="AR50" i="18"/>
  <c r="LN33" i="1"/>
  <c r="AR41" i="18"/>
  <c r="LN24" i="1"/>
  <c r="AR40" i="18"/>
  <c r="LN23" i="1"/>
  <c r="AR51" i="18"/>
  <c r="LN34" i="1"/>
  <c r="AR39" i="18"/>
  <c r="LN22" i="1"/>
  <c r="AR44" i="18"/>
  <c r="LN27" i="1"/>
  <c r="LP30" i="1"/>
  <c r="LS30" i="1"/>
  <c r="LV30" i="1" s="1"/>
  <c r="LQ30" i="1"/>
  <c r="EJ27" i="1"/>
  <c r="SL47" i="1"/>
  <c r="CO35" i="22"/>
  <c r="CS35" i="22" s="1"/>
  <c r="SL46" i="1"/>
  <c r="CO34" i="22"/>
  <c r="AR37" i="18"/>
  <c r="LN20" i="1"/>
  <c r="H41" i="18"/>
  <c r="J41" i="18"/>
  <c r="J65" i="18"/>
  <c r="VJ48" i="1"/>
  <c r="H65" i="18"/>
  <c r="VD48" i="1"/>
  <c r="CV29" i="1"/>
  <c r="CW29" i="1" s="1"/>
  <c r="B17" i="22" s="1"/>
  <c r="CV44" i="1"/>
  <c r="CW44" i="1" s="1"/>
  <c r="B32" i="22" s="1"/>
  <c r="CV38" i="1"/>
  <c r="CW38" i="1" s="1"/>
  <c r="B26" i="22" s="1"/>
  <c r="CV30" i="1"/>
  <c r="CW30" i="1" s="1"/>
  <c r="B18" i="22" s="1"/>
  <c r="CV45" i="1"/>
  <c r="CW45" i="1" s="1"/>
  <c r="B33" i="22" s="1"/>
  <c r="CV35" i="1"/>
  <c r="CW35" i="1" s="1"/>
  <c r="B23" i="22" s="1"/>
  <c r="CV40" i="1"/>
  <c r="CW40" i="1" s="1"/>
  <c r="B28" i="22" s="1"/>
  <c r="CV41" i="1"/>
  <c r="CW41" i="1" s="1"/>
  <c r="B29" i="22" s="1"/>
  <c r="CV28" i="1"/>
  <c r="CW28" i="1" s="1"/>
  <c r="B16" i="22" s="1"/>
  <c r="CV34" i="1"/>
  <c r="CW34" i="1" s="1"/>
  <c r="B22" i="22" s="1"/>
  <c r="CV43" i="1"/>
  <c r="CW43" i="1" s="1"/>
  <c r="B31" i="22" s="1"/>
  <c r="CV37" i="1"/>
  <c r="CW37" i="1" s="1"/>
  <c r="B25" i="22" s="1"/>
  <c r="CV39" i="1"/>
  <c r="CW39" i="1" s="1"/>
  <c r="B27" i="22" s="1"/>
  <c r="CV46" i="1"/>
  <c r="CW46" i="1" s="1"/>
  <c r="B34" i="22" s="1"/>
  <c r="CV32" i="1"/>
  <c r="CW32" i="1" s="1"/>
  <c r="B20" i="22" s="1"/>
  <c r="CV24" i="1"/>
  <c r="CW24" i="1" s="1"/>
  <c r="B12" i="22" s="1"/>
  <c r="CV25" i="1"/>
  <c r="CW25" i="1" s="1"/>
  <c r="B13" i="22" s="1"/>
  <c r="CV48" i="1"/>
  <c r="CW48" i="1" s="1"/>
  <c r="B36" i="22" s="1"/>
  <c r="CV27" i="1"/>
  <c r="CW27" i="1" s="1"/>
  <c r="B15" i="22" s="1"/>
  <c r="EP27" i="1"/>
  <c r="EP24" i="1"/>
  <c r="EP25" i="1"/>
  <c r="EP48" i="1"/>
  <c r="RI48" i="1"/>
  <c r="RN48" i="1" s="1"/>
  <c r="AR36" i="18"/>
  <c r="LN19" i="1"/>
  <c r="P39" i="18"/>
  <c r="N39" i="18"/>
  <c r="N40" i="18"/>
  <c r="L40" i="18"/>
  <c r="J40" i="18"/>
  <c r="H40" i="18"/>
  <c r="DZ24" i="1"/>
  <c r="CP22" i="1"/>
  <c r="CQ22" i="1" s="1"/>
  <c r="CF24" i="1"/>
  <c r="CG24" i="1" s="1"/>
  <c r="BV24" i="1"/>
  <c r="BW24" i="1" s="1"/>
  <c r="T41" i="18" s="1"/>
  <c r="BB24" i="1"/>
  <c r="BC24" i="1" s="1"/>
  <c r="P41" i="18" s="1"/>
  <c r="BB23" i="1"/>
  <c r="BC23" i="1" s="1"/>
  <c r="SA44" i="1"/>
  <c r="SE44" i="1" s="1"/>
  <c r="SA45" i="1"/>
  <c r="SE45" i="1" s="1"/>
  <c r="BB21" i="1"/>
  <c r="BV22" i="1"/>
  <c r="BW22" i="1" s="1"/>
  <c r="BB20" i="1"/>
  <c r="BC20" i="1" s="1"/>
  <c r="CF22" i="1"/>
  <c r="BV23" i="1"/>
  <c r="BW23" i="1" s="1"/>
  <c r="UF22" i="1"/>
  <c r="UF24" i="1"/>
  <c r="UF23" i="1"/>
  <c r="TZ23" i="1"/>
  <c r="TZ22" i="1"/>
  <c r="TX21" i="1"/>
  <c r="AH21" i="1"/>
  <c r="AI21" i="1" s="1"/>
  <c r="TX20" i="1"/>
  <c r="AH20" i="1"/>
  <c r="AI20" i="1" s="1"/>
  <c r="VD23" i="1"/>
  <c r="VJ23" i="1"/>
  <c r="TX19" i="1"/>
  <c r="BV19" i="1"/>
  <c r="BW19" i="1" s="1"/>
  <c r="AH19" i="1"/>
  <c r="AI19" i="1" s="1"/>
  <c r="CG22" i="1"/>
  <c r="BC21" i="1"/>
  <c r="DB19" i="22"/>
  <c r="CY31" i="1"/>
  <c r="C36" i="22"/>
  <c r="CS23" i="1"/>
  <c r="J15" i="22"/>
  <c r="DD24" i="1"/>
  <c r="C12" i="22"/>
  <c r="CY33" i="1"/>
  <c r="DL41" i="1"/>
  <c r="DL25" i="1"/>
  <c r="DJ45" i="1"/>
  <c r="DB36" i="22"/>
  <c r="DJ27" i="1"/>
  <c r="C20" i="22"/>
  <c r="J30" i="22"/>
  <c r="DL37" i="1"/>
  <c r="DD22" i="1"/>
  <c r="EK27" i="1"/>
  <c r="CY42" i="1"/>
  <c r="C33" i="22"/>
  <c r="CY26" i="1"/>
  <c r="DL46" i="1"/>
  <c r="DD23" i="1"/>
  <c r="DB20" i="22"/>
  <c r="J21" i="22"/>
  <c r="CT23" i="1"/>
  <c r="C17" i="22"/>
  <c r="DJ26" i="1"/>
  <c r="C34" i="22"/>
  <c r="C28" i="22"/>
  <c r="DL44" i="1"/>
  <c r="DJ32" i="1"/>
  <c r="EM27" i="1"/>
  <c r="DE22" i="1"/>
  <c r="C25" i="22"/>
  <c r="DJ41" i="1"/>
  <c r="DL34" i="1"/>
  <c r="DL45" i="1"/>
  <c r="C32" i="22"/>
  <c r="C26" i="22"/>
  <c r="DJ36" i="1"/>
  <c r="DL47" i="1"/>
  <c r="C29" i="22"/>
  <c r="C13" i="22"/>
  <c r="C15" i="22"/>
  <c r="CY36" i="1"/>
  <c r="DJ38" i="1"/>
  <c r="DL35" i="1"/>
  <c r="DJ39" i="1"/>
  <c r="C31" i="22"/>
  <c r="DE23" i="1"/>
  <c r="C23" i="22"/>
  <c r="DL38" i="1"/>
  <c r="C18" i="22"/>
  <c r="DJ30" i="1"/>
  <c r="DJ37" i="1"/>
  <c r="DB22" i="22"/>
  <c r="DJ28" i="1"/>
  <c r="DJ25" i="1"/>
  <c r="DJ47" i="1"/>
  <c r="C22" i="22"/>
  <c r="DL40" i="1"/>
  <c r="DJ44" i="1"/>
  <c r="C16" i="22"/>
  <c r="J17" i="22"/>
  <c r="DJ48" i="1"/>
  <c r="DJ31" i="1"/>
  <c r="X15" i="22"/>
  <c r="C27" i="22"/>
  <c r="DJ46" i="1"/>
  <c r="DJ35" i="1"/>
  <c r="J22" i="22"/>
  <c r="CZ33" i="1" l="1"/>
  <c r="DB33" i="1"/>
  <c r="EE25" i="1"/>
  <c r="ED25" i="1"/>
  <c r="Z14" i="22"/>
  <c r="Z22" i="22"/>
  <c r="Z34" i="22"/>
  <c r="Z20" i="22"/>
  <c r="Z21" i="22"/>
  <c r="Z26" i="22"/>
  <c r="Z17" i="22"/>
  <c r="Z16" i="22"/>
  <c r="Z33" i="22"/>
  <c r="Z32" i="22"/>
  <c r="Z30" i="22"/>
  <c r="Z23" i="22"/>
  <c r="Z31" i="22"/>
  <c r="Z24" i="22"/>
  <c r="Z19" i="22"/>
  <c r="Z29" i="22"/>
  <c r="Z27" i="22"/>
  <c r="Z18" i="22"/>
  <c r="Z35" i="22"/>
  <c r="Z25" i="22"/>
  <c r="L31" i="22"/>
  <c r="E21" i="22"/>
  <c r="E14" i="22"/>
  <c r="E30" i="22"/>
  <c r="E24" i="22"/>
  <c r="E19" i="22"/>
  <c r="LU30" i="1"/>
  <c r="DF24" i="1"/>
  <c r="DG24" i="1" s="1"/>
  <c r="CS34" i="22"/>
  <c r="V41" i="18"/>
  <c r="EA24" i="1"/>
  <c r="EE24" i="1" s="1"/>
  <c r="L38" i="18"/>
  <c r="P36" i="18"/>
  <c r="AC15" i="22"/>
  <c r="DH40" i="1"/>
  <c r="I28" i="22" s="1"/>
  <c r="DN40" i="1"/>
  <c r="O28" i="22" s="1"/>
  <c r="EE40" i="1"/>
  <c r="ED40" i="1"/>
  <c r="DB42" i="1"/>
  <c r="CZ42" i="1"/>
  <c r="ED48" i="1"/>
  <c r="EC48" i="1" s="1"/>
  <c r="K17" i="22"/>
  <c r="K22" i="22"/>
  <c r="K15" i="22"/>
  <c r="DM41" i="1"/>
  <c r="DK41" i="1"/>
  <c r="DK47" i="1"/>
  <c r="DM47" i="1"/>
  <c r="DK28" i="1"/>
  <c r="DM28" i="1"/>
  <c r="DM48" i="1"/>
  <c r="DK48" i="1"/>
  <c r="DM35" i="1"/>
  <c r="DK35" i="1"/>
  <c r="DM25" i="1"/>
  <c r="DK25" i="1"/>
  <c r="DM44" i="1"/>
  <c r="DK44" i="1"/>
  <c r="DM26" i="1"/>
  <c r="DK26" i="1"/>
  <c r="K30" i="22"/>
  <c r="K21" i="22"/>
  <c r="DM45" i="1"/>
  <c r="DK45" i="1"/>
  <c r="DM38" i="1"/>
  <c r="DK38" i="1"/>
  <c r="DM30" i="1"/>
  <c r="DK30" i="1"/>
  <c r="DK32" i="1"/>
  <c r="DM32" i="1"/>
  <c r="DM46" i="1"/>
  <c r="DK46" i="1"/>
  <c r="DK37" i="1"/>
  <c r="DM37" i="1"/>
  <c r="DM31" i="1"/>
  <c r="DK31" i="1"/>
  <c r="DK36" i="1"/>
  <c r="DM36" i="1"/>
  <c r="DM39" i="1"/>
  <c r="DK39" i="1"/>
  <c r="I29" i="22"/>
  <c r="I35" i="22"/>
  <c r="I16" i="22"/>
  <c r="I36" i="22"/>
  <c r="I23" i="22"/>
  <c r="I13" i="22"/>
  <c r="I32" i="22"/>
  <c r="I14" i="22"/>
  <c r="I33" i="22"/>
  <c r="I26" i="22"/>
  <c r="I18" i="22"/>
  <c r="I20" i="22"/>
  <c r="I34" i="22"/>
  <c r="I25" i="22"/>
  <c r="I19" i="22"/>
  <c r="I24" i="22"/>
  <c r="I27" i="22"/>
  <c r="DF23" i="1"/>
  <c r="EQ23" i="1" s="1"/>
  <c r="CU23" i="1"/>
  <c r="CV23" i="1" s="1"/>
  <c r="CW23" i="1" s="1"/>
  <c r="X40" i="18"/>
  <c r="EB23" i="1"/>
  <c r="V40" i="18"/>
  <c r="EA23" i="1"/>
  <c r="T40" i="18"/>
  <c r="DZ23" i="1"/>
  <c r="DM27" i="1"/>
  <c r="DB36" i="1"/>
  <c r="CZ36" i="1"/>
  <c r="B35" i="22"/>
  <c r="CZ26" i="1"/>
  <c r="DB26" i="1"/>
  <c r="DB31" i="1"/>
  <c r="CZ31" i="1"/>
  <c r="DK27" i="1"/>
  <c r="Y15" i="22"/>
  <c r="D15" i="22"/>
  <c r="D20" i="22"/>
  <c r="D31" i="22"/>
  <c r="D28" i="22"/>
  <c r="D26" i="22"/>
  <c r="D36" i="22"/>
  <c r="D34" i="22"/>
  <c r="D22" i="22"/>
  <c r="D23" i="22"/>
  <c r="D32" i="22"/>
  <c r="D13" i="22"/>
  <c r="D27" i="22"/>
  <c r="D16" i="22"/>
  <c r="D33" i="22"/>
  <c r="D17" i="22"/>
  <c r="D12" i="22"/>
  <c r="D25" i="22"/>
  <c r="D29" i="22"/>
  <c r="D18" i="22"/>
  <c r="LS34" i="1"/>
  <c r="LV34" i="1" s="1"/>
  <c r="LP34" i="1"/>
  <c r="LQ34" i="1"/>
  <c r="MJ30" i="1"/>
  <c r="SB30" i="1" s="1"/>
  <c r="SF30" i="1" s="1"/>
  <c r="SL45" i="1"/>
  <c r="CO33" i="22"/>
  <c r="CS33" i="22" s="1"/>
  <c r="SL44" i="1"/>
  <c r="CO32" i="22"/>
  <c r="CS32" i="22" s="1"/>
  <c r="P37" i="18"/>
  <c r="L37" i="18"/>
  <c r="RJ48" i="1"/>
  <c r="RO48" i="1" s="1"/>
  <c r="RP48" i="1" s="1"/>
  <c r="RQ48" i="1" s="1"/>
  <c r="RR48" i="1" s="1"/>
  <c r="RS48" i="1" s="1"/>
  <c r="RT48" i="1" s="1"/>
  <c r="RU48" i="1" s="1"/>
  <c r="RV48" i="1" s="1"/>
  <c r="T36" i="18"/>
  <c r="DZ19" i="1"/>
  <c r="L36" i="18"/>
  <c r="X39" i="18"/>
  <c r="V39" i="18"/>
  <c r="T39" i="18"/>
  <c r="P38" i="18"/>
  <c r="P40" i="18"/>
  <c r="DZ22" i="1"/>
  <c r="DF22" i="1"/>
  <c r="EB22" i="1"/>
  <c r="EA22" i="1"/>
  <c r="CP21" i="1"/>
  <c r="CQ21" i="1" s="1"/>
  <c r="TZ20" i="1"/>
  <c r="VH21" i="1"/>
  <c r="X21" i="1"/>
  <c r="Y21" i="1" s="1"/>
  <c r="BV21" i="1"/>
  <c r="BW21" i="1" s="1"/>
  <c r="BV20" i="1"/>
  <c r="BW20" i="1" s="1"/>
  <c r="CF21" i="1"/>
  <c r="CG21" i="1" s="1"/>
  <c r="UD21" i="1"/>
  <c r="AR21" i="1"/>
  <c r="AS21" i="1" s="1"/>
  <c r="TZ21" i="1"/>
  <c r="VB22" i="1"/>
  <c r="N22" i="1"/>
  <c r="O22" i="1" s="1"/>
  <c r="X22" i="1"/>
  <c r="Y22" i="1" s="1"/>
  <c r="VH22" i="1"/>
  <c r="VH19" i="1"/>
  <c r="VH20" i="1"/>
  <c r="VB21" i="1"/>
  <c r="VB19" i="1"/>
  <c r="VB20" i="1"/>
  <c r="UD20" i="1"/>
  <c r="UD19" i="1"/>
  <c r="TZ19" i="1"/>
  <c r="X20" i="1"/>
  <c r="Y20" i="1" s="1"/>
  <c r="N21" i="1"/>
  <c r="O21" i="1" s="1"/>
  <c r="CP20" i="1"/>
  <c r="CQ20" i="1" s="1"/>
  <c r="CP19" i="1"/>
  <c r="CQ19" i="1" s="1"/>
  <c r="CF20" i="1"/>
  <c r="CG20" i="1" s="1"/>
  <c r="CF19" i="1"/>
  <c r="CG19" i="1" s="1"/>
  <c r="AR20" i="1"/>
  <c r="AS20" i="1" s="1"/>
  <c r="AR19" i="1"/>
  <c r="AS19" i="1" s="1"/>
  <c r="X19" i="1"/>
  <c r="Y19" i="1" s="1"/>
  <c r="N20" i="1"/>
  <c r="O20" i="1" s="1"/>
  <c r="N19" i="1"/>
  <c r="O19" i="1" s="1"/>
  <c r="F10" i="4"/>
  <c r="F11" i="4"/>
  <c r="DA26" i="1"/>
  <c r="DC26" i="1"/>
  <c r="CY24" i="1"/>
  <c r="J19" i="22"/>
  <c r="J32" i="22"/>
  <c r="CY44" i="1"/>
  <c r="J33" i="22"/>
  <c r="DA36" i="1"/>
  <c r="DJ29" i="1"/>
  <c r="J27" i="22"/>
  <c r="DJ33" i="1"/>
  <c r="DD20" i="1"/>
  <c r="CY39" i="1"/>
  <c r="J24" i="22"/>
  <c r="CY38" i="1"/>
  <c r="CY45" i="1"/>
  <c r="DC33" i="1"/>
  <c r="DD21" i="1"/>
  <c r="J36" i="22"/>
  <c r="DJ42" i="1"/>
  <c r="J13" i="22"/>
  <c r="CY40" i="1"/>
  <c r="J23" i="22"/>
  <c r="CY41" i="1"/>
  <c r="J25" i="22"/>
  <c r="DA42" i="1"/>
  <c r="J29" i="22"/>
  <c r="CY34" i="1"/>
  <c r="DC42" i="1"/>
  <c r="CY46" i="1"/>
  <c r="DC31" i="1"/>
  <c r="CY48" i="1"/>
  <c r="J20" i="22"/>
  <c r="J26" i="22"/>
  <c r="CY27" i="1"/>
  <c r="CY32" i="1"/>
  <c r="CT34" i="22"/>
  <c r="CY47" i="1"/>
  <c r="J34" i="22"/>
  <c r="DA33" i="1"/>
  <c r="J14" i="22"/>
  <c r="CT35" i="22"/>
  <c r="J16" i="22"/>
  <c r="DD19" i="1"/>
  <c r="CY30" i="1"/>
  <c r="CY43" i="1"/>
  <c r="CY29" i="1"/>
  <c r="CY35" i="1"/>
  <c r="CY25" i="1"/>
  <c r="J35" i="22"/>
  <c r="CY28" i="1"/>
  <c r="DC36" i="1"/>
  <c r="DA31" i="1"/>
  <c r="J18" i="22"/>
  <c r="DJ34" i="1"/>
  <c r="J28" i="22"/>
  <c r="CY37" i="1"/>
  <c r="C35" i="22"/>
  <c r="CZ44" i="1" l="1"/>
  <c r="DB44" i="1"/>
  <c r="DM42" i="1"/>
  <c r="DK42" i="1"/>
  <c r="H21" i="22"/>
  <c r="EC25" i="1"/>
  <c r="EF25" i="1" s="1"/>
  <c r="Z15" i="22"/>
  <c r="L22" i="22"/>
  <c r="L21" i="22"/>
  <c r="L17" i="22"/>
  <c r="L30" i="22"/>
  <c r="L15" i="22"/>
  <c r="E18" i="22"/>
  <c r="E17" i="22"/>
  <c r="E13" i="22"/>
  <c r="E34" i="22"/>
  <c r="E31" i="22"/>
  <c r="E29" i="22"/>
  <c r="E33" i="22"/>
  <c r="E32" i="22"/>
  <c r="E36" i="22"/>
  <c r="E20" i="22"/>
  <c r="E25" i="22"/>
  <c r="E16" i="22"/>
  <c r="E23" i="22"/>
  <c r="E26" i="22"/>
  <c r="E15" i="22"/>
  <c r="E12" i="22"/>
  <c r="E27" i="22"/>
  <c r="E22" i="22"/>
  <c r="E28" i="22"/>
  <c r="LW30" i="1"/>
  <c r="LU34" i="1"/>
  <c r="DK34" i="1"/>
  <c r="DM34" i="1"/>
  <c r="EQ24" i="1"/>
  <c r="ED24" i="1"/>
  <c r="EC24" i="1" s="1"/>
  <c r="EF24" i="1" s="1"/>
  <c r="DM33" i="1"/>
  <c r="DK33" i="1"/>
  <c r="H38" i="18"/>
  <c r="H14" i="22"/>
  <c r="H24" i="22"/>
  <c r="H30" i="22"/>
  <c r="H19" i="22"/>
  <c r="K28" i="22"/>
  <c r="EC40" i="1"/>
  <c r="DB24" i="1"/>
  <c r="CZ24" i="1"/>
  <c r="DB30" i="1"/>
  <c r="CZ30" i="1"/>
  <c r="DM29" i="1"/>
  <c r="DK29" i="1"/>
  <c r="DB37" i="1"/>
  <c r="CZ37" i="1"/>
  <c r="CZ41" i="1"/>
  <c r="DB41" i="1"/>
  <c r="CZ38" i="1"/>
  <c r="DB38" i="1"/>
  <c r="CZ40" i="1"/>
  <c r="DB40" i="1"/>
  <c r="DG23" i="1"/>
  <c r="EP23" i="1"/>
  <c r="K24" i="22"/>
  <c r="K20" i="22"/>
  <c r="K14" i="22"/>
  <c r="K36" i="22"/>
  <c r="K19" i="22"/>
  <c r="K18" i="22"/>
  <c r="K32" i="22"/>
  <c r="K16" i="22"/>
  <c r="K25" i="22"/>
  <c r="K26" i="22"/>
  <c r="K13" i="22"/>
  <c r="K35" i="22"/>
  <c r="K27" i="22"/>
  <c r="K34" i="22"/>
  <c r="K33" i="22"/>
  <c r="K23" i="22"/>
  <c r="K29" i="22"/>
  <c r="N38" i="18"/>
  <c r="EE23" i="1"/>
  <c r="ED23" i="1"/>
  <c r="B11" i="22"/>
  <c r="J38" i="18"/>
  <c r="DB47" i="1"/>
  <c r="CZ47" i="1"/>
  <c r="D35" i="22"/>
  <c r="DB48" i="1"/>
  <c r="CZ48" i="1"/>
  <c r="CZ34" i="1"/>
  <c r="DB34" i="1"/>
  <c r="CZ46" i="1"/>
  <c r="DB46" i="1"/>
  <c r="CZ35" i="1"/>
  <c r="DB35" i="1"/>
  <c r="CZ28" i="1"/>
  <c r="DB28" i="1"/>
  <c r="CZ25" i="1"/>
  <c r="DB25" i="1"/>
  <c r="CZ32" i="1"/>
  <c r="DB32" i="1"/>
  <c r="DB39" i="1"/>
  <c r="CZ39" i="1"/>
  <c r="CZ45" i="1"/>
  <c r="DB45" i="1"/>
  <c r="CZ43" i="1"/>
  <c r="DB43" i="1"/>
  <c r="CZ29" i="1"/>
  <c r="DB29" i="1"/>
  <c r="CZ27" i="1"/>
  <c r="DB27" i="1"/>
  <c r="G5" i="4"/>
  <c r="G3" i="4"/>
  <c r="G2" i="4"/>
  <c r="G4" i="4"/>
  <c r="SM30" i="1"/>
  <c r="CU18" i="22"/>
  <c r="CV18" i="22" s="1"/>
  <c r="CW18" i="22" s="1"/>
  <c r="MJ34" i="1"/>
  <c r="SB34" i="1" s="1"/>
  <c r="SF34" i="1" s="1"/>
  <c r="EF48" i="1"/>
  <c r="EG48" i="1" s="1"/>
  <c r="ES48" i="1"/>
  <c r="V37" i="18"/>
  <c r="T37" i="18"/>
  <c r="N37" i="18"/>
  <c r="EQ22" i="1"/>
  <c r="DG22" i="1"/>
  <c r="J37" i="18"/>
  <c r="H37" i="18"/>
  <c r="X36" i="18"/>
  <c r="EB19" i="1"/>
  <c r="V36" i="18"/>
  <c r="EA19" i="1"/>
  <c r="FQ4" i="1"/>
  <c r="GI4" i="1"/>
  <c r="FK4" i="1"/>
  <c r="FE4" i="1"/>
  <c r="KS4" i="1"/>
  <c r="FW4" i="1"/>
  <c r="GC4" i="1"/>
  <c r="N36" i="18"/>
  <c r="J36" i="18"/>
  <c r="H36" i="18"/>
  <c r="X37" i="18"/>
  <c r="X38" i="18"/>
  <c r="V38" i="18"/>
  <c r="T38" i="18"/>
  <c r="J39" i="18"/>
  <c r="H39" i="18"/>
  <c r="EE22" i="1"/>
  <c r="ED22" i="1"/>
  <c r="EB21" i="1"/>
  <c r="EA21" i="1"/>
  <c r="DZ21" i="1"/>
  <c r="EA20" i="1"/>
  <c r="DZ20" i="1"/>
  <c r="EB20" i="1"/>
  <c r="UF21" i="1"/>
  <c r="VJ21" i="1"/>
  <c r="VJ22" i="1"/>
  <c r="VD22" i="1"/>
  <c r="VJ19" i="1"/>
  <c r="VJ20" i="1"/>
  <c r="VD19" i="1"/>
  <c r="VD20" i="1"/>
  <c r="VD21" i="1"/>
  <c r="UF19" i="1"/>
  <c r="UF20" i="1"/>
  <c r="DA41" i="1"/>
  <c r="DC39" i="1"/>
  <c r="DC43" i="1"/>
  <c r="DA48" i="1"/>
  <c r="DA47" i="1"/>
  <c r="CY23" i="1"/>
  <c r="DC24" i="1"/>
  <c r="CT21" i="1"/>
  <c r="DA25" i="1"/>
  <c r="DA40" i="1"/>
  <c r="CT22" i="1"/>
  <c r="CT20" i="1"/>
  <c r="CS19" i="1"/>
  <c r="DA38" i="1"/>
  <c r="DA39" i="1"/>
  <c r="DC30" i="1"/>
  <c r="DA27" i="1"/>
  <c r="C11" i="22"/>
  <c r="DA43" i="1"/>
  <c r="CS22" i="1"/>
  <c r="CT19" i="1"/>
  <c r="DE19" i="1"/>
  <c r="DC37" i="1"/>
  <c r="DC25" i="1"/>
  <c r="DC28" i="1"/>
  <c r="DC41" i="1"/>
  <c r="DA37" i="1"/>
  <c r="DC45" i="1"/>
  <c r="MA30" i="1"/>
  <c r="CS21" i="1"/>
  <c r="DC29" i="1"/>
  <c r="CT32" i="22"/>
  <c r="DA34" i="1"/>
  <c r="DA44" i="1"/>
  <c r="CX18" i="22"/>
  <c r="DJ40" i="1"/>
  <c r="DC35" i="1"/>
  <c r="DC44" i="1"/>
  <c r="DA35" i="1"/>
  <c r="DC34" i="1"/>
  <c r="DC32" i="1"/>
  <c r="DC47" i="1"/>
  <c r="CT33" i="22"/>
  <c r="DC46" i="1"/>
  <c r="DE20" i="1"/>
  <c r="DA30" i="1"/>
  <c r="CS20" i="1"/>
  <c r="DC38" i="1"/>
  <c r="DE21" i="1"/>
  <c r="DC27" i="1"/>
  <c r="DC40" i="1"/>
  <c r="DC48" i="1"/>
  <c r="DA32" i="1"/>
  <c r="DA29" i="1"/>
  <c r="DA24" i="1"/>
  <c r="DA46" i="1"/>
  <c r="DA28" i="1"/>
  <c r="DA45" i="1"/>
  <c r="H32" i="22" l="1"/>
  <c r="ES25" i="1"/>
  <c r="L29" i="22"/>
  <c r="L27" i="22"/>
  <c r="L25" i="22"/>
  <c r="L19" i="22"/>
  <c r="L24" i="22"/>
  <c r="L23" i="22"/>
  <c r="L35" i="22"/>
  <c r="L16" i="22"/>
  <c r="L36" i="22"/>
  <c r="L33" i="22"/>
  <c r="L13" i="22"/>
  <c r="L32" i="22"/>
  <c r="L14" i="22"/>
  <c r="L28" i="22"/>
  <c r="L34" i="22"/>
  <c r="L26" i="22"/>
  <c r="L18" i="22"/>
  <c r="L20" i="22"/>
  <c r="E35" i="22"/>
  <c r="ME30" i="1"/>
  <c r="LY30" i="1"/>
  <c r="BG18" i="22" s="1"/>
  <c r="MF30" i="1"/>
  <c r="MG30" i="1" s="1"/>
  <c r="MC30" i="1"/>
  <c r="LX30" i="1"/>
  <c r="LZ30" i="1" s="1"/>
  <c r="LW34" i="1"/>
  <c r="LY34" i="1" s="1"/>
  <c r="BG22" i="22" s="1"/>
  <c r="DM40" i="1"/>
  <c r="DK40" i="1"/>
  <c r="EC23" i="1"/>
  <c r="EF23" i="1" s="1"/>
  <c r="H27" i="22"/>
  <c r="H22" i="22"/>
  <c r="H28" i="22"/>
  <c r="H26" i="22"/>
  <c r="H29" i="22"/>
  <c r="H17" i="22"/>
  <c r="H33" i="22"/>
  <c r="H20" i="22"/>
  <c r="H16" i="22"/>
  <c r="H12" i="22"/>
  <c r="H34" i="22"/>
  <c r="H35" i="22"/>
  <c r="H15" i="22"/>
  <c r="H31" i="22"/>
  <c r="H13" i="22"/>
  <c r="H23" i="22"/>
  <c r="H36" i="22"/>
  <c r="H25" i="22"/>
  <c r="H18" i="22"/>
  <c r="EF40" i="1"/>
  <c r="EG40" i="1" s="1"/>
  <c r="ES40" i="1"/>
  <c r="DF21" i="1"/>
  <c r="DG21" i="1" s="1"/>
  <c r="CZ23" i="1"/>
  <c r="DB23" i="1"/>
  <c r="D11" i="22"/>
  <c r="DF20" i="1"/>
  <c r="DG20" i="1" s="1"/>
  <c r="SM34" i="1"/>
  <c r="CU22" i="22"/>
  <c r="CV22" i="22" s="1"/>
  <c r="CW22" i="22" s="1"/>
  <c r="W36" i="22"/>
  <c r="EE19" i="1"/>
  <c r="ED19" i="1"/>
  <c r="DF19" i="1"/>
  <c r="EC22" i="1"/>
  <c r="EF22" i="1" s="1"/>
  <c r="EE21" i="1"/>
  <c r="EE20" i="1"/>
  <c r="ED21" i="1"/>
  <c r="ED20" i="1"/>
  <c r="CU22" i="1"/>
  <c r="CU21" i="1"/>
  <c r="CU20" i="1"/>
  <c r="CU19" i="1"/>
  <c r="CV19" i="1" s="1"/>
  <c r="CW19" i="1" s="1"/>
  <c r="EI48" i="1"/>
  <c r="DA23" i="1"/>
  <c r="DC23" i="1"/>
  <c r="CX22" i="22"/>
  <c r="MA34" i="1"/>
  <c r="EI40" i="1"/>
  <c r="MH30" i="1"/>
  <c r="E11" i="22" l="1"/>
  <c r="ME34" i="1"/>
  <c r="BF18" i="22"/>
  <c r="LX34" i="1"/>
  <c r="LZ34" i="1" s="1"/>
  <c r="MF34" i="1"/>
  <c r="MG34" i="1" s="1"/>
  <c r="MC34" i="1"/>
  <c r="H11" i="22"/>
  <c r="EJ40" i="1"/>
  <c r="EL40" i="1"/>
  <c r="W28" i="22"/>
  <c r="EQ21" i="1"/>
  <c r="EL48" i="1"/>
  <c r="EQ20" i="1"/>
  <c r="EJ48" i="1"/>
  <c r="B7" i="22"/>
  <c r="EQ19" i="1"/>
  <c r="DG19" i="1"/>
  <c r="CV21" i="1"/>
  <c r="CV20" i="1"/>
  <c r="CV22" i="1"/>
  <c r="EP21" i="1"/>
  <c r="EP22" i="1"/>
  <c r="EC19" i="1"/>
  <c r="EF19" i="1" s="1"/>
  <c r="EC21" i="1"/>
  <c r="EF21" i="1" s="1"/>
  <c r="EC20" i="1"/>
  <c r="EF20" i="1" s="1"/>
  <c r="EP20" i="1"/>
  <c r="EP19" i="1"/>
  <c r="UW22" i="1"/>
  <c r="UW24" i="1"/>
  <c r="UW25" i="1"/>
  <c r="UW23" i="1"/>
  <c r="UN26" i="1"/>
  <c r="UN27" i="1"/>
  <c r="UN22" i="1"/>
  <c r="UN25" i="1"/>
  <c r="UN24" i="1"/>
  <c r="UN23" i="1"/>
  <c r="H2" i="4"/>
  <c r="I2" i="4" s="1"/>
  <c r="D2" i="8" s="1"/>
  <c r="AZ2" i="8" s="1"/>
  <c r="H3" i="4"/>
  <c r="I3" i="4" s="1"/>
  <c r="H4" i="4"/>
  <c r="I4" i="4" s="1"/>
  <c r="M2" i="9" s="1"/>
  <c r="H5" i="4"/>
  <c r="I5" i="4" s="1"/>
  <c r="TT23" i="1"/>
  <c r="BH40" i="18" s="1"/>
  <c r="TT24" i="1"/>
  <c r="BH41" i="18" s="1"/>
  <c r="TT25" i="1"/>
  <c r="BH42" i="18" s="1"/>
  <c r="UX22" i="1"/>
  <c r="BL39" i="18" s="1"/>
  <c r="UX24" i="1"/>
  <c r="BL41" i="18" s="1"/>
  <c r="UX25" i="1"/>
  <c r="BL42" i="18" s="1"/>
  <c r="UX23" i="1"/>
  <c r="BL40" i="18" s="1"/>
  <c r="UO26" i="1"/>
  <c r="BJ43" i="18" s="1"/>
  <c r="UO27" i="1"/>
  <c r="BJ44" i="18" s="1"/>
  <c r="UO22" i="1"/>
  <c r="BJ39" i="18" s="1"/>
  <c r="UO25" i="1"/>
  <c r="BJ42" i="18" s="1"/>
  <c r="UO24" i="1"/>
  <c r="BJ41" i="18" s="1"/>
  <c r="UO23" i="1"/>
  <c r="BJ40" i="18" s="1"/>
  <c r="C7" i="22"/>
  <c r="MH34" i="1"/>
  <c r="BK18" i="22"/>
  <c r="X36" i="22"/>
  <c r="EK48" i="1"/>
  <c r="EM40" i="1"/>
  <c r="X28" i="22"/>
  <c r="CY19" i="1"/>
  <c r="EK40" i="1"/>
  <c r="EM48" i="1"/>
  <c r="MD30" i="1" l="1"/>
  <c r="MB30" i="1"/>
  <c r="AC36" i="22"/>
  <c r="AC28" i="22"/>
  <c r="Y28" i="22"/>
  <c r="Y36" i="22"/>
  <c r="D7" i="22"/>
  <c r="DB19" i="1"/>
  <c r="CZ19" i="1"/>
  <c r="KZ21" i="1"/>
  <c r="LA21" i="1" s="1"/>
  <c r="V2" i="9"/>
  <c r="D2" i="14"/>
  <c r="AZ2" i="14" s="1"/>
  <c r="D2" i="16"/>
  <c r="J2" i="16" s="1"/>
  <c r="D2" i="17"/>
  <c r="V2" i="17" s="1"/>
  <c r="D2" i="15"/>
  <c r="J2" i="15" s="1"/>
  <c r="S2" i="9"/>
  <c r="A2" i="16"/>
  <c r="M2" i="16" s="1"/>
  <c r="A2" i="14"/>
  <c r="AE2" i="14" s="1"/>
  <c r="A2" i="17"/>
  <c r="Y2" i="17" s="1"/>
  <c r="A2" i="15"/>
  <c r="G2" i="15" s="1"/>
  <c r="A2" i="6"/>
  <c r="G2" i="6" s="1"/>
  <c r="A2" i="7"/>
  <c r="P2" i="9"/>
  <c r="D2" i="6"/>
  <c r="J2" i="6" s="1"/>
  <c r="D2" i="7"/>
  <c r="A2" i="8"/>
  <c r="AQ2" i="8" s="1"/>
  <c r="A2" i="3"/>
  <c r="G2" i="3" s="1"/>
  <c r="D2" i="3"/>
  <c r="J2" i="3" s="1"/>
  <c r="P2" i="8"/>
  <c r="AN2" i="8"/>
  <c r="AH2" i="8"/>
  <c r="V2" i="8"/>
  <c r="AT2" i="8"/>
  <c r="J2" i="8"/>
  <c r="AB2" i="8"/>
  <c r="TJ19" i="1"/>
  <c r="DA19" i="1"/>
  <c r="DC19" i="1"/>
  <c r="Z28" i="22" l="1"/>
  <c r="Z36" i="22"/>
  <c r="E7" i="22"/>
  <c r="BI18" i="22"/>
  <c r="H7" i="22"/>
  <c r="AR38" i="18"/>
  <c r="LN21" i="1"/>
  <c r="AN2" i="14"/>
  <c r="AH2" i="14"/>
  <c r="AT2" i="14"/>
  <c r="M2" i="14"/>
  <c r="P2" i="14"/>
  <c r="J2" i="14"/>
  <c r="AB2" i="14"/>
  <c r="V2" i="14"/>
  <c r="S2" i="17"/>
  <c r="G2" i="17"/>
  <c r="M2" i="17"/>
  <c r="S2" i="14"/>
  <c r="G2" i="16"/>
  <c r="AK2" i="8"/>
  <c r="AE2" i="8"/>
  <c r="Y2" i="8"/>
  <c r="AW2" i="14"/>
  <c r="AK2" i="14"/>
  <c r="AB2" i="17"/>
  <c r="S2" i="8"/>
  <c r="M2" i="8"/>
  <c r="Y2" i="14"/>
  <c r="P2" i="17"/>
  <c r="AW2" i="8"/>
  <c r="G2" i="8"/>
  <c r="G2" i="14"/>
  <c r="AQ2" i="14"/>
  <c r="J2" i="17"/>
  <c r="P2" i="16"/>
  <c r="V2" i="3"/>
  <c r="P2" i="3"/>
  <c r="AB2" i="3"/>
  <c r="S2" i="3"/>
  <c r="M2" i="3"/>
  <c r="Y2" i="3"/>
  <c r="J2" i="7"/>
  <c r="P2" i="7"/>
  <c r="G2" i="7"/>
  <c r="M2" i="7"/>
  <c r="E24" i="9"/>
  <c r="E25" i="9"/>
  <c r="BJ18" i="22" l="1"/>
  <c r="K3" i="4"/>
  <c r="CW20" i="1"/>
  <c r="CW21" i="1"/>
  <c r="CW22" i="1"/>
  <c r="B10" i="22" l="1"/>
  <c r="B9" i="22"/>
  <c r="B8" i="22"/>
  <c r="K4" i="4"/>
  <c r="C4" i="11"/>
  <c r="A4" i="11"/>
  <c r="C2" i="11"/>
  <c r="A2" i="11"/>
  <c r="A1" i="11"/>
  <c r="DH23" i="1"/>
  <c r="DH22" i="1"/>
  <c r="DH24" i="1"/>
  <c r="C10" i="22"/>
  <c r="CY21" i="1"/>
  <c r="C8" i="22"/>
  <c r="CY20" i="1"/>
  <c r="CY22" i="1"/>
  <c r="C9" i="22"/>
  <c r="I10" i="22" l="1"/>
  <c r="I12" i="22"/>
  <c r="DB22" i="1"/>
  <c r="CZ22" i="1"/>
  <c r="D10" i="22"/>
  <c r="I11" i="22"/>
  <c r="D9" i="22"/>
  <c r="CZ21" i="1"/>
  <c r="DB21" i="1"/>
  <c r="D8" i="22"/>
  <c r="DB20" i="1"/>
  <c r="CZ20" i="1"/>
  <c r="K5" i="4"/>
  <c r="R29" i="4"/>
  <c r="DH19" i="1"/>
  <c r="DH20" i="1"/>
  <c r="DH21" i="1"/>
  <c r="DJ22" i="1"/>
  <c r="DJ24" i="1"/>
  <c r="N22" i="21"/>
  <c r="J11" i="22"/>
  <c r="DA20" i="1"/>
  <c r="J12" i="22"/>
  <c r="DC22" i="1"/>
  <c r="DC21" i="1"/>
  <c r="DA21" i="1"/>
  <c r="DJ23" i="1"/>
  <c r="DC20" i="1"/>
  <c r="J10" i="22"/>
  <c r="DA22" i="1"/>
  <c r="DM24" i="1" l="1"/>
  <c r="DK24" i="1"/>
  <c r="DK22" i="1"/>
  <c r="DM22" i="1"/>
  <c r="K10" i="22"/>
  <c r="L10" i="22" s="1"/>
  <c r="K12" i="22"/>
  <c r="L12" i="22" s="1"/>
  <c r="E9" i="22"/>
  <c r="E8" i="22"/>
  <c r="E10" i="22"/>
  <c r="H8" i="22"/>
  <c r="H9" i="22"/>
  <c r="H10" i="22"/>
  <c r="I9" i="22"/>
  <c r="DK23" i="1"/>
  <c r="DM23" i="1"/>
  <c r="K11" i="22"/>
  <c r="I7" i="22"/>
  <c r="I8" i="22"/>
  <c r="K6" i="4"/>
  <c r="U29" i="4"/>
  <c r="V29" i="4"/>
  <c r="T29" i="4"/>
  <c r="S29" i="4"/>
  <c r="UT19" i="1" s="1"/>
  <c r="UU19" i="1" s="1"/>
  <c r="R30" i="4"/>
  <c r="D2" i="10"/>
  <c r="A2" i="10"/>
  <c r="J2" i="9"/>
  <c r="G2" i="9"/>
  <c r="D2" i="9"/>
  <c r="A2" i="9"/>
  <c r="R28" i="4"/>
  <c r="R7" i="4"/>
  <c r="R17" i="4"/>
  <c r="R18" i="4"/>
  <c r="R20" i="4"/>
  <c r="R21" i="4"/>
  <c r="R22" i="4"/>
  <c r="R23" i="4"/>
  <c r="R24" i="4"/>
  <c r="R25" i="4"/>
  <c r="R27" i="4"/>
  <c r="DN23" i="1"/>
  <c r="DN24" i="1"/>
  <c r="DN22" i="1"/>
  <c r="DL23" i="1"/>
  <c r="DL22" i="1"/>
  <c r="DJ21" i="1"/>
  <c r="DJ20" i="1"/>
  <c r="DJ19" i="1"/>
  <c r="DL24" i="1"/>
  <c r="AC20" i="4"/>
  <c r="AC18" i="4"/>
  <c r="J8" i="22"/>
  <c r="O22" i="21"/>
  <c r="AB25" i="4"/>
  <c r="J9" i="22"/>
  <c r="J7" i="22"/>
  <c r="AB17" i="4"/>
  <c r="O10" i="22" l="1"/>
  <c r="O12" i="22"/>
  <c r="AI20" i="4"/>
  <c r="AI18" i="4"/>
  <c r="AH17" i="4"/>
  <c r="AH25" i="4"/>
  <c r="L11" i="22"/>
  <c r="O11" i="22"/>
  <c r="DM21" i="1"/>
  <c r="DK21" i="1"/>
  <c r="K9" i="22"/>
  <c r="DM20" i="1"/>
  <c r="DM19" i="1"/>
  <c r="K7" i="22"/>
  <c r="DK19" i="1"/>
  <c r="K8" i="22"/>
  <c r="DK20" i="1"/>
  <c r="K7" i="4"/>
  <c r="V27" i="4"/>
  <c r="V24" i="4"/>
  <c r="V23" i="4"/>
  <c r="U25" i="4"/>
  <c r="V25" i="4"/>
  <c r="U21" i="4"/>
  <c r="V21" i="4"/>
  <c r="U7" i="4"/>
  <c r="DP4" i="1" s="1"/>
  <c r="V7" i="4"/>
  <c r="U30" i="4"/>
  <c r="V30" i="4"/>
  <c r="U20" i="4"/>
  <c r="V20" i="4"/>
  <c r="U28" i="4"/>
  <c r="V28" i="4"/>
  <c r="U18" i="4"/>
  <c r="V18" i="4"/>
  <c r="U22" i="4"/>
  <c r="V22" i="4"/>
  <c r="U17" i="4"/>
  <c r="V17" i="4"/>
  <c r="DO4" i="1"/>
  <c r="U23" i="4"/>
  <c r="U24" i="4"/>
  <c r="U27" i="4"/>
  <c r="T27" i="4"/>
  <c r="S23" i="4"/>
  <c r="T23" i="4"/>
  <c r="T28" i="4"/>
  <c r="S28" i="4"/>
  <c r="UK19" i="1" s="1"/>
  <c r="UL19" i="1" s="1"/>
  <c r="S27" i="4"/>
  <c r="S22" i="4"/>
  <c r="T22" i="4"/>
  <c r="T17" i="4"/>
  <c r="S17" i="4"/>
  <c r="T25" i="4"/>
  <c r="S25" i="4"/>
  <c r="S11" i="4"/>
  <c r="T11" i="4"/>
  <c r="S30" i="4"/>
  <c r="T30" i="4"/>
  <c r="T21" i="4"/>
  <c r="S21" i="4"/>
  <c r="T24" i="4"/>
  <c r="S24" i="4"/>
  <c r="T20" i="4"/>
  <c r="S20" i="4"/>
  <c r="S7" i="4"/>
  <c r="T7" i="4"/>
  <c r="S18" i="4"/>
  <c r="KM40" i="1" s="1"/>
  <c r="KN40" i="1" s="1"/>
  <c r="T18" i="4"/>
  <c r="DN19" i="1"/>
  <c r="DN21" i="1"/>
  <c r="DN20" i="1"/>
  <c r="DO43" i="1"/>
  <c r="DP42" i="1"/>
  <c r="AB18" i="4"/>
  <c r="DO27" i="1"/>
  <c r="DP39" i="1"/>
  <c r="AC17" i="4"/>
  <c r="AB20" i="4"/>
  <c r="DP48" i="1"/>
  <c r="DL19" i="1"/>
  <c r="DO36" i="1"/>
  <c r="AC25" i="4"/>
  <c r="DO23" i="1"/>
  <c r="DL20" i="1"/>
  <c r="DO29" i="1"/>
  <c r="DL21" i="1"/>
  <c r="AI25" i="4" l="1"/>
  <c r="AI17" i="4"/>
  <c r="AH18" i="4"/>
  <c r="AH20" i="4"/>
  <c r="BI24" i="1"/>
  <c r="BJ24" i="1" s="1"/>
  <c r="DQ24" i="1" s="1"/>
  <c r="EN24" i="1" s="1"/>
  <c r="CL12" i="22" s="1"/>
  <c r="BI26" i="1"/>
  <c r="BJ26" i="1" s="1"/>
  <c r="MZ22" i="1"/>
  <c r="MZ26" i="1"/>
  <c r="LG40" i="1"/>
  <c r="LG43" i="1"/>
  <c r="LH43" i="1" s="1"/>
  <c r="LG41" i="1"/>
  <c r="MP38" i="1"/>
  <c r="MP25" i="1"/>
  <c r="MQ25" i="1" s="1"/>
  <c r="JN25" i="1"/>
  <c r="JO25" i="1" s="1"/>
  <c r="JN26" i="1"/>
  <c r="JO26" i="1" s="1"/>
  <c r="NJ40" i="1"/>
  <c r="NK40" i="1" s="1"/>
  <c r="NM40" i="1" s="1"/>
  <c r="NN40" i="1" s="1"/>
  <c r="AZ57" i="18" s="1"/>
  <c r="NJ26" i="1"/>
  <c r="NJ39" i="1"/>
  <c r="NJ37" i="1"/>
  <c r="JD41" i="1"/>
  <c r="JE41" i="1" s="1"/>
  <c r="JD42" i="1"/>
  <c r="JE42" i="1" s="1"/>
  <c r="JD43" i="1"/>
  <c r="JE43" i="1" s="1"/>
  <c r="NT37" i="1"/>
  <c r="NT42" i="1"/>
  <c r="OD40" i="1"/>
  <c r="OE40" i="1" s="1"/>
  <c r="OG40" i="1" s="1"/>
  <c r="OH40" i="1" s="1"/>
  <c r="BD57" i="18" s="1"/>
  <c r="OD24" i="1"/>
  <c r="OD38" i="1"/>
  <c r="OD42" i="1"/>
  <c r="OE42" i="1" s="1"/>
  <c r="OD39" i="1"/>
  <c r="L8" i="22"/>
  <c r="L9" i="22"/>
  <c r="L7" i="22"/>
  <c r="O8" i="22"/>
  <c r="O9" i="22"/>
  <c r="O7" i="22"/>
  <c r="LM40" i="1"/>
  <c r="KP40" i="1"/>
  <c r="KQ40" i="1" s="1"/>
  <c r="AP57" i="18" s="1"/>
  <c r="NT29" i="1"/>
  <c r="NU29" i="1" s="1"/>
  <c r="NT40" i="1"/>
  <c r="NU40" i="1" s="1"/>
  <c r="JN24" i="1"/>
  <c r="JN40" i="1"/>
  <c r="JO40" i="1" s="1"/>
  <c r="JT40" i="1" s="1"/>
  <c r="JU40" i="1" s="1"/>
  <c r="JD38" i="1"/>
  <c r="JE38" i="1" s="1"/>
  <c r="JD37" i="1"/>
  <c r="JE37" i="1" s="1"/>
  <c r="JD35" i="1"/>
  <c r="JE35" i="1" s="1"/>
  <c r="JD39" i="1"/>
  <c r="JE39" i="1" s="1"/>
  <c r="JD40" i="1"/>
  <c r="JE40" i="1" s="1"/>
  <c r="JD36" i="1"/>
  <c r="JE36" i="1" s="1"/>
  <c r="OD29" i="1"/>
  <c r="OE29" i="1" s="1"/>
  <c r="OD30" i="1"/>
  <c r="MP23" i="1"/>
  <c r="MQ23" i="1" s="1"/>
  <c r="MP30" i="1"/>
  <c r="NJ25" i="1"/>
  <c r="NJ29" i="1"/>
  <c r="NK29" i="1" s="1"/>
  <c r="NT25" i="1"/>
  <c r="NT28" i="1"/>
  <c r="NU28" i="1" s="1"/>
  <c r="OD25" i="1"/>
  <c r="OD26" i="1"/>
  <c r="OD28" i="1"/>
  <c r="OE28" i="1" s="1"/>
  <c r="OD27" i="1"/>
  <c r="OE27" i="1" s="1"/>
  <c r="MZ24" i="1"/>
  <c r="MZ23" i="1"/>
  <c r="MP24" i="1"/>
  <c r="MP22" i="1"/>
  <c r="JN22" i="1"/>
  <c r="JN23" i="1"/>
  <c r="JO23" i="1" s="1"/>
  <c r="KI4" i="1"/>
  <c r="NZ4" i="1"/>
  <c r="JJ4" i="1"/>
  <c r="LG27" i="1"/>
  <c r="LH27" i="1" s="1"/>
  <c r="LG26" i="1"/>
  <c r="LG31" i="1"/>
  <c r="LH31" i="1" s="1"/>
  <c r="LG48" i="1"/>
  <c r="LH48" i="1" s="1"/>
  <c r="LG25" i="1"/>
  <c r="LH25" i="1" s="1"/>
  <c r="LG24" i="1"/>
  <c r="LH24" i="1" s="1"/>
  <c r="LG28" i="1"/>
  <c r="LH28" i="1" s="1"/>
  <c r="LG23" i="1"/>
  <c r="LH23" i="1" s="1"/>
  <c r="LG33" i="1"/>
  <c r="LH33" i="1" s="1"/>
  <c r="LG22" i="1"/>
  <c r="LH22" i="1" s="1"/>
  <c r="KM33" i="1"/>
  <c r="KN33" i="1" s="1"/>
  <c r="KM25" i="1"/>
  <c r="KN25" i="1" s="1"/>
  <c r="KM26" i="1"/>
  <c r="KM24" i="1"/>
  <c r="KN24" i="1" s="1"/>
  <c r="KM27" i="1"/>
  <c r="KN27" i="1" s="1"/>
  <c r="KM29" i="1"/>
  <c r="KN29" i="1" s="1"/>
  <c r="KM28" i="1"/>
  <c r="KN28" i="1" s="1"/>
  <c r="JD26" i="1"/>
  <c r="JE26" i="1" s="1"/>
  <c r="JD28" i="1"/>
  <c r="JE28" i="1" s="1"/>
  <c r="JD33" i="1"/>
  <c r="JE33" i="1" s="1"/>
  <c r="JD34" i="1"/>
  <c r="JE34" i="1" s="1"/>
  <c r="JD30" i="1"/>
  <c r="JE30" i="1" s="1"/>
  <c r="JD32" i="1"/>
  <c r="JE32" i="1" s="1"/>
  <c r="JD31" i="1"/>
  <c r="JE31" i="1" s="1"/>
  <c r="JD25" i="1"/>
  <c r="JD29" i="1"/>
  <c r="JE29" i="1" s="1"/>
  <c r="JD27" i="1"/>
  <c r="JE27" i="1" s="1"/>
  <c r="JD23" i="1"/>
  <c r="JD22" i="1"/>
  <c r="JD24" i="1"/>
  <c r="JE24" i="1" s="1"/>
  <c r="NT22" i="1"/>
  <c r="NT23" i="1"/>
  <c r="OD22" i="1"/>
  <c r="OD23" i="1"/>
  <c r="OE23" i="1" s="1"/>
  <c r="NJ23" i="1"/>
  <c r="NK23" i="1" s="1"/>
  <c r="NJ24" i="1"/>
  <c r="NJ22" i="1"/>
  <c r="LC4" i="1"/>
  <c r="K8" i="4"/>
  <c r="JD19" i="1"/>
  <c r="JE19" i="1" s="1"/>
  <c r="JD20" i="1"/>
  <c r="JD48" i="1"/>
  <c r="JE48" i="1" s="1"/>
  <c r="JD21" i="1"/>
  <c r="DQ25" i="1"/>
  <c r="DQ27" i="1"/>
  <c r="ES24" i="1"/>
  <c r="KM23" i="1"/>
  <c r="KN23" i="1" s="1"/>
  <c r="KM22" i="1"/>
  <c r="EN47" i="1"/>
  <c r="CL35" i="22" s="1"/>
  <c r="EN42" i="1"/>
  <c r="CL30" i="22" s="1"/>
  <c r="EN28" i="1"/>
  <c r="CL16" i="22" s="1"/>
  <c r="EN46" i="1"/>
  <c r="CL34" i="22" s="1"/>
  <c r="EN35" i="1"/>
  <c r="CL23" i="22" s="1"/>
  <c r="EN32" i="1"/>
  <c r="CL20" i="22" s="1"/>
  <c r="EN48" i="1"/>
  <c r="CL36" i="22" s="1"/>
  <c r="EN29" i="1"/>
  <c r="CL17" i="22" s="1"/>
  <c r="EN30" i="1"/>
  <c r="CL18" i="22" s="1"/>
  <c r="ER47" i="1"/>
  <c r="ER35" i="1"/>
  <c r="BI19" i="1"/>
  <c r="BJ19" i="1" s="1"/>
  <c r="BI22" i="1"/>
  <c r="BJ22" i="1" s="1"/>
  <c r="BI20" i="1"/>
  <c r="BI23" i="1"/>
  <c r="BJ23" i="1" s="1"/>
  <c r="BI21" i="1"/>
  <c r="V32" i="4"/>
  <c r="UW19" i="1"/>
  <c r="UW21" i="1"/>
  <c r="UW20" i="1"/>
  <c r="VP21" i="1"/>
  <c r="VQ21" i="1" s="1"/>
  <c r="VP20" i="1"/>
  <c r="VQ20" i="1" s="1"/>
  <c r="VP19" i="1"/>
  <c r="VQ19" i="1" s="1"/>
  <c r="TP20" i="1"/>
  <c r="TQ20" i="1" s="1"/>
  <c r="TP21" i="1"/>
  <c r="TQ21" i="1" s="1"/>
  <c r="TP19" i="1"/>
  <c r="TQ19" i="1" s="1"/>
  <c r="TP22" i="1"/>
  <c r="TQ22" i="1" s="1"/>
  <c r="LG19" i="1"/>
  <c r="LG20" i="1"/>
  <c r="LG21" i="1"/>
  <c r="MP19" i="1"/>
  <c r="MQ19" i="1" s="1"/>
  <c r="MP20" i="1"/>
  <c r="MP21" i="1"/>
  <c r="JN20" i="1"/>
  <c r="JN21" i="1"/>
  <c r="JN19" i="1"/>
  <c r="NJ19" i="1"/>
  <c r="NK19" i="1" s="1"/>
  <c r="NJ20" i="1"/>
  <c r="NJ21" i="1"/>
  <c r="KM20" i="1"/>
  <c r="KN20" i="1" s="1"/>
  <c r="KM21" i="1"/>
  <c r="KM19" i="1"/>
  <c r="NT19" i="1"/>
  <c r="NU19" i="1" s="1"/>
  <c r="NT20" i="1"/>
  <c r="NU20" i="1" s="1"/>
  <c r="NT21" i="1"/>
  <c r="OD21" i="1"/>
  <c r="OE21" i="1" s="1"/>
  <c r="OD19" i="1"/>
  <c r="OE19" i="1" s="1"/>
  <c r="OD20" i="1"/>
  <c r="MZ21" i="1"/>
  <c r="NA21" i="1" s="1"/>
  <c r="MZ19" i="1"/>
  <c r="MZ20" i="1"/>
  <c r="NA20" i="1" s="1"/>
  <c r="UX21" i="1"/>
  <c r="BL38" i="18" s="1"/>
  <c r="UX20" i="1"/>
  <c r="BL37" i="18" s="1"/>
  <c r="UX19" i="1"/>
  <c r="MQ22" i="1"/>
  <c r="NK24" i="1"/>
  <c r="NA23" i="1"/>
  <c r="NU23" i="1"/>
  <c r="OE26" i="1"/>
  <c r="NA24" i="1"/>
  <c r="NK25" i="1"/>
  <c r="JO24" i="1"/>
  <c r="JT24" i="1" s="1"/>
  <c r="JU24" i="1" s="1"/>
  <c r="OE30" i="1"/>
  <c r="MQ30" i="1"/>
  <c r="JE23" i="1"/>
  <c r="OE22" i="1"/>
  <c r="NU37" i="1"/>
  <c r="JE25" i="1"/>
  <c r="NK21" i="1"/>
  <c r="NK26" i="1"/>
  <c r="NA22" i="1"/>
  <c r="OE38" i="1"/>
  <c r="MQ21" i="1"/>
  <c r="MQ24" i="1"/>
  <c r="MQ20" i="1"/>
  <c r="BJ21" i="1"/>
  <c r="JE20" i="1"/>
  <c r="OE25" i="1"/>
  <c r="JO22" i="1"/>
  <c r="OE39" i="1"/>
  <c r="NA26" i="1"/>
  <c r="NU25" i="1"/>
  <c r="NU22" i="1"/>
  <c r="JE21" i="1"/>
  <c r="KN22" i="1"/>
  <c r="LH41" i="1"/>
  <c r="KN26" i="1"/>
  <c r="NK20" i="1"/>
  <c r="NK22" i="1"/>
  <c r="NK39" i="1"/>
  <c r="NK37" i="1"/>
  <c r="MQ38" i="1"/>
  <c r="KN21" i="1"/>
  <c r="LH26" i="1"/>
  <c r="OE20" i="1"/>
  <c r="BJ20" i="1"/>
  <c r="JE22" i="1"/>
  <c r="LH40" i="1"/>
  <c r="OE24" i="1"/>
  <c r="NU42" i="1"/>
  <c r="NU21" i="1"/>
  <c r="JO19" i="1"/>
  <c r="KN19" i="1"/>
  <c r="NA19" i="1"/>
  <c r="DO41" i="1"/>
  <c r="DP31" i="1"/>
  <c r="DO28" i="1"/>
  <c r="DO44" i="1"/>
  <c r="DP29" i="1"/>
  <c r="DP41" i="1"/>
  <c r="DP45" i="1"/>
  <c r="DP28" i="1"/>
  <c r="DP34" i="1"/>
  <c r="DP30" i="1"/>
  <c r="DO48" i="1"/>
  <c r="DO45" i="1"/>
  <c r="DO40" i="1"/>
  <c r="N23" i="21"/>
  <c r="DO30" i="1"/>
  <c r="DP46" i="1"/>
  <c r="DO35" i="1"/>
  <c r="DO37" i="1"/>
  <c r="DO25" i="1"/>
  <c r="DO24" i="1"/>
  <c r="JV40" i="1"/>
  <c r="DO33" i="1"/>
  <c r="DP33" i="1"/>
  <c r="DP27" i="1"/>
  <c r="DO46" i="1"/>
  <c r="DO26" i="1"/>
  <c r="DO22" i="1"/>
  <c r="DP36" i="1"/>
  <c r="DO42" i="1"/>
  <c r="DP37" i="1"/>
  <c r="DO32" i="1"/>
  <c r="DO47" i="1"/>
  <c r="DO38" i="1"/>
  <c r="DP43" i="1"/>
  <c r="DP40" i="1"/>
  <c r="DP32" i="1"/>
  <c r="DO34" i="1"/>
  <c r="DO39" i="1"/>
  <c r="DP25" i="1"/>
  <c r="DP35" i="1"/>
  <c r="DP47" i="1"/>
  <c r="DP44" i="1"/>
  <c r="DO31" i="1"/>
  <c r="DP38" i="1"/>
  <c r="O23" i="21"/>
  <c r="JV24" i="1"/>
  <c r="BL24" i="1" l="1"/>
  <c r="BM24" i="1" s="1"/>
  <c r="OG39" i="1"/>
  <c r="OG42" i="1"/>
  <c r="OH42" i="1" s="1"/>
  <c r="BD59" i="18" s="1"/>
  <c r="OG38" i="1"/>
  <c r="OH38" i="1" s="1"/>
  <c r="OG24" i="1"/>
  <c r="NW42" i="1"/>
  <c r="NW37" i="1"/>
  <c r="JG43" i="1"/>
  <c r="JH43" i="1" s="1"/>
  <c r="AL60" i="18" s="1"/>
  <c r="JG42" i="1"/>
  <c r="JH42" i="1" s="1"/>
  <c r="AL59" i="18" s="1"/>
  <c r="JG41" i="1"/>
  <c r="JH41" i="1" s="1"/>
  <c r="AL58" i="18" s="1"/>
  <c r="NM37" i="1"/>
  <c r="NN37" i="1" s="1"/>
  <c r="NM39" i="1"/>
  <c r="NN39" i="1" s="1"/>
  <c r="NM26" i="1"/>
  <c r="JQ26" i="1"/>
  <c r="JR26" i="1" s="1"/>
  <c r="AN43" i="18" s="1"/>
  <c r="JQ25" i="1"/>
  <c r="JR25" i="1" s="1"/>
  <c r="AN42" i="18" s="1"/>
  <c r="MS25" i="1"/>
  <c r="MT25" i="1" s="1"/>
  <c r="AV42" i="18" s="1"/>
  <c r="MS38" i="1"/>
  <c r="LJ41" i="1"/>
  <c r="LJ43" i="1"/>
  <c r="LK43" i="1" s="1"/>
  <c r="AT60" i="18" s="1"/>
  <c r="LO43" i="1"/>
  <c r="LJ40" i="1"/>
  <c r="NC26" i="1"/>
  <c r="NC22" i="1"/>
  <c r="ND22" i="1" s="1"/>
  <c r="DQ26" i="1"/>
  <c r="EN26" i="1" s="1"/>
  <c r="CL14" i="22" s="1"/>
  <c r="BL26" i="1"/>
  <c r="BM26" i="1" s="1"/>
  <c r="OG25" i="1"/>
  <c r="MS24" i="1"/>
  <c r="OL40" i="1"/>
  <c r="ON40" i="1"/>
  <c r="BD11" i="22"/>
  <c r="BD12" i="22"/>
  <c r="BD7" i="22"/>
  <c r="NW29" i="1"/>
  <c r="NX29" i="1" s="1"/>
  <c r="BB46" i="18" s="1"/>
  <c r="JQ24" i="1"/>
  <c r="JR24" i="1" s="1"/>
  <c r="JQ40" i="1"/>
  <c r="JR40" i="1" s="1"/>
  <c r="AN57" i="18" s="1"/>
  <c r="NW40" i="1"/>
  <c r="NX40" i="1" s="1"/>
  <c r="BB57" i="18" s="1"/>
  <c r="LR40" i="1"/>
  <c r="JG39" i="1"/>
  <c r="JH39" i="1" s="1"/>
  <c r="AL56" i="18" s="1"/>
  <c r="JG35" i="1"/>
  <c r="JH35" i="1" s="1"/>
  <c r="AL52" i="18" s="1"/>
  <c r="JG36" i="1"/>
  <c r="JH36" i="1" s="1"/>
  <c r="AL53" i="18" s="1"/>
  <c r="JG37" i="1"/>
  <c r="JH37" i="1" s="1"/>
  <c r="AL54" i="18" s="1"/>
  <c r="JG40" i="1"/>
  <c r="JH40" i="1" s="1"/>
  <c r="JG38" i="1"/>
  <c r="JH38" i="1" s="1"/>
  <c r="AL55" i="18" s="1"/>
  <c r="MS23" i="1"/>
  <c r="MT23" i="1" s="1"/>
  <c r="OG30" i="1"/>
  <c r="OH30" i="1" s="1"/>
  <c r="MS30" i="1"/>
  <c r="MT30" i="1" s="1"/>
  <c r="OG29" i="1"/>
  <c r="OH29" i="1" s="1"/>
  <c r="BD46" i="18" s="1"/>
  <c r="NM25" i="1"/>
  <c r="NN25" i="1" s="1"/>
  <c r="NM29" i="1"/>
  <c r="NN29" i="1" s="1"/>
  <c r="AZ46" i="18" s="1"/>
  <c r="NW25" i="1"/>
  <c r="NC23" i="1"/>
  <c r="ND23" i="1" s="1"/>
  <c r="OG26" i="1"/>
  <c r="OH26" i="1" s="1"/>
  <c r="NC24" i="1"/>
  <c r="ND24" i="1" s="1"/>
  <c r="OG28" i="1"/>
  <c r="OH28" i="1" s="1"/>
  <c r="BD45" i="18" s="1"/>
  <c r="OG27" i="1"/>
  <c r="OH27" i="1" s="1"/>
  <c r="BD44" i="18" s="1"/>
  <c r="NW28" i="1"/>
  <c r="NX28" i="1" s="1"/>
  <c r="BB45" i="18" s="1"/>
  <c r="JQ23" i="1"/>
  <c r="JR23" i="1" s="1"/>
  <c r="MS22" i="1"/>
  <c r="MT22" i="1" s="1"/>
  <c r="DR39" i="1"/>
  <c r="DS39" i="1" s="1"/>
  <c r="P27" i="22" s="1"/>
  <c r="DR46" i="1"/>
  <c r="DS46" i="1" s="1"/>
  <c r="P34" i="22" s="1"/>
  <c r="DR41" i="1"/>
  <c r="DS41" i="1" s="1"/>
  <c r="P29" i="22" s="1"/>
  <c r="DR47" i="1"/>
  <c r="DS47" i="1" s="1"/>
  <c r="P35" i="22" s="1"/>
  <c r="DR35" i="1"/>
  <c r="DS35" i="1" s="1"/>
  <c r="P23" i="22" s="1"/>
  <c r="DR31" i="1"/>
  <c r="DS31" i="1" s="1"/>
  <c r="P19" i="22" s="1"/>
  <c r="DR36" i="1"/>
  <c r="DS36" i="1" s="1"/>
  <c r="P24" i="22" s="1"/>
  <c r="DR43" i="1"/>
  <c r="DS43" i="1" s="1"/>
  <c r="P31" i="22" s="1"/>
  <c r="DR30" i="1"/>
  <c r="DS30" i="1" s="1"/>
  <c r="P18" i="22" s="1"/>
  <c r="DR28" i="1"/>
  <c r="DS28" i="1" s="1"/>
  <c r="P16" i="22" s="1"/>
  <c r="DR40" i="1"/>
  <c r="DS40" i="1" s="1"/>
  <c r="P28" i="22" s="1"/>
  <c r="DR32" i="1"/>
  <c r="DS32" i="1" s="1"/>
  <c r="P20" i="22" s="1"/>
  <c r="DR29" i="1"/>
  <c r="DS29" i="1" s="1"/>
  <c r="P17" i="22" s="1"/>
  <c r="DR45" i="1"/>
  <c r="DS45" i="1" s="1"/>
  <c r="P33" i="22" s="1"/>
  <c r="DR44" i="1"/>
  <c r="DS44" i="1" s="1"/>
  <c r="P32" i="22" s="1"/>
  <c r="DR34" i="1"/>
  <c r="DS34" i="1" s="1"/>
  <c r="P22" i="22" s="1"/>
  <c r="LJ23" i="1"/>
  <c r="LK23" i="1" s="1"/>
  <c r="KP33" i="1"/>
  <c r="KQ33" i="1" s="1"/>
  <c r="LJ22" i="1"/>
  <c r="LK22" i="1" s="1"/>
  <c r="LJ24" i="1"/>
  <c r="LK24" i="1" s="1"/>
  <c r="NW22" i="1"/>
  <c r="NX22" i="1" s="1"/>
  <c r="NM22" i="1"/>
  <c r="NN22" i="1" s="1"/>
  <c r="OG22" i="1"/>
  <c r="OH22" i="1" s="1"/>
  <c r="KP26" i="1"/>
  <c r="LJ33" i="1"/>
  <c r="LK33" i="1" s="1"/>
  <c r="LJ25" i="1"/>
  <c r="LK25" i="1" s="1"/>
  <c r="JG33" i="1"/>
  <c r="JH33" i="1" s="1"/>
  <c r="AL50" i="18" s="1"/>
  <c r="LJ48" i="1"/>
  <c r="LK48" i="1" s="1"/>
  <c r="AT65" i="18" s="1"/>
  <c r="LO48" i="1"/>
  <c r="NM24" i="1"/>
  <c r="NN24" i="1" s="1"/>
  <c r="JG31" i="1"/>
  <c r="JH31" i="1" s="1"/>
  <c r="AL48" i="18" s="1"/>
  <c r="NW23" i="1"/>
  <c r="NX23" i="1" s="1"/>
  <c r="KP25" i="1"/>
  <c r="KQ25" i="1" s="1"/>
  <c r="AP42" i="18" s="1"/>
  <c r="LM25" i="1"/>
  <c r="JG32" i="1"/>
  <c r="JH32" i="1" s="1"/>
  <c r="AL49" i="18" s="1"/>
  <c r="KP27" i="1"/>
  <c r="KQ27" i="1" s="1"/>
  <c r="AP44" i="18" s="1"/>
  <c r="LM27" i="1"/>
  <c r="LO31" i="1"/>
  <c r="LJ31" i="1"/>
  <c r="LK31" i="1" s="1"/>
  <c r="AT48" i="18" s="1"/>
  <c r="OG23" i="1"/>
  <c r="OH23" i="1" s="1"/>
  <c r="JG24" i="1"/>
  <c r="JH24" i="1" s="1"/>
  <c r="AL41" i="18" s="1"/>
  <c r="JG29" i="1"/>
  <c r="JH29" i="1" s="1"/>
  <c r="AL46" i="18" s="1"/>
  <c r="JG30" i="1"/>
  <c r="JH30" i="1" s="1"/>
  <c r="AL47" i="18" s="1"/>
  <c r="JG26" i="1"/>
  <c r="JH26" i="1" s="1"/>
  <c r="AL43" i="18" s="1"/>
  <c r="KP24" i="1"/>
  <c r="KQ24" i="1" s="1"/>
  <c r="AP41" i="18" s="1"/>
  <c r="LM24" i="1"/>
  <c r="LJ26" i="1"/>
  <c r="LK26" i="1" s="1"/>
  <c r="JG23" i="1"/>
  <c r="JH23" i="1" s="1"/>
  <c r="LM29" i="1"/>
  <c r="KP29" i="1"/>
  <c r="KQ29" i="1" s="1"/>
  <c r="AP46" i="18" s="1"/>
  <c r="NM23" i="1"/>
  <c r="NN23" i="1" s="1"/>
  <c r="AZ40" i="18" s="1"/>
  <c r="JG27" i="1"/>
  <c r="JH27" i="1" s="1"/>
  <c r="AL44" i="18" s="1"/>
  <c r="JG28" i="1"/>
  <c r="JH28" i="1" s="1"/>
  <c r="AL45" i="18" s="1"/>
  <c r="LJ28" i="1"/>
  <c r="LK28" i="1" s="1"/>
  <c r="AT45" i="18" s="1"/>
  <c r="LO28" i="1"/>
  <c r="JG25" i="1"/>
  <c r="JG34" i="1"/>
  <c r="JH34" i="1" s="1"/>
  <c r="AL51" i="18" s="1"/>
  <c r="LM28" i="1"/>
  <c r="KP28" i="1"/>
  <c r="KQ28" i="1" s="1"/>
  <c r="AP45" i="18" s="1"/>
  <c r="LJ27" i="1"/>
  <c r="LK27" i="1" s="1"/>
  <c r="AT44" i="18" s="1"/>
  <c r="LO27" i="1"/>
  <c r="K9" i="4"/>
  <c r="JG48" i="1"/>
  <c r="JH48" i="1" s="1"/>
  <c r="AL65" i="18" s="1"/>
  <c r="DR38" i="1"/>
  <c r="DS38" i="1" s="1"/>
  <c r="DR48" i="1"/>
  <c r="DS48" i="1" s="1"/>
  <c r="DR42" i="1"/>
  <c r="DS42" i="1" s="1"/>
  <c r="DR37" i="1"/>
  <c r="DS37" i="1" s="1"/>
  <c r="DR33" i="1"/>
  <c r="DS33" i="1" s="1"/>
  <c r="EN27" i="1"/>
  <c r="CL15" i="22" s="1"/>
  <c r="DR27" i="1"/>
  <c r="DS27" i="1" s="1"/>
  <c r="EN25" i="1"/>
  <c r="CL13" i="22" s="1"/>
  <c r="DR25" i="1"/>
  <c r="DS25" i="1" s="1"/>
  <c r="BL36" i="18"/>
  <c r="ES23" i="1"/>
  <c r="ES22" i="1"/>
  <c r="JQ22" i="1"/>
  <c r="JR22" i="1" s="1"/>
  <c r="KP22" i="1"/>
  <c r="KQ22" i="1" s="1"/>
  <c r="KP23" i="1"/>
  <c r="KQ23" i="1" s="1"/>
  <c r="ER46" i="1"/>
  <c r="EO46" i="1" s="1"/>
  <c r="EU46" i="1" s="1"/>
  <c r="ER25" i="1"/>
  <c r="EO25" i="1" s="1"/>
  <c r="EU25" i="1" s="1"/>
  <c r="ER27" i="1"/>
  <c r="EO27" i="1" s="1"/>
  <c r="EU27" i="1" s="1"/>
  <c r="ER24" i="1"/>
  <c r="EO24" i="1" s="1"/>
  <c r="EU24" i="1" s="1"/>
  <c r="ER29" i="1"/>
  <c r="EO29" i="1" s="1"/>
  <c r="EU29" i="1" s="1"/>
  <c r="ER42" i="1"/>
  <c r="EO42" i="1" s="1"/>
  <c r="EU42" i="1" s="1"/>
  <c r="ER48" i="1"/>
  <c r="EO48" i="1" s="1"/>
  <c r="EU48" i="1" s="1"/>
  <c r="ER32" i="1"/>
  <c r="EO32" i="1" s="1"/>
  <c r="EU32" i="1" s="1"/>
  <c r="ER28" i="1"/>
  <c r="EO28" i="1" s="1"/>
  <c r="EU28" i="1" s="1"/>
  <c r="ER33" i="1"/>
  <c r="EO33" i="1" s="1"/>
  <c r="EU33" i="1" s="1"/>
  <c r="EN33" i="1"/>
  <c r="CL21" i="22" s="1"/>
  <c r="ER34" i="1"/>
  <c r="EO34" i="1" s="1"/>
  <c r="EU34" i="1" s="1"/>
  <c r="EN34" i="1"/>
  <c r="CL22" i="22" s="1"/>
  <c r="ER39" i="1"/>
  <c r="EO39" i="1" s="1"/>
  <c r="EU39" i="1" s="1"/>
  <c r="EN39" i="1"/>
  <c r="CL27" i="22" s="1"/>
  <c r="ER41" i="1"/>
  <c r="EO41" i="1" s="1"/>
  <c r="EU41" i="1" s="1"/>
  <c r="EN41" i="1"/>
  <c r="CL29" i="22" s="1"/>
  <c r="ER43" i="1"/>
  <c r="EO43" i="1" s="1"/>
  <c r="EU43" i="1" s="1"/>
  <c r="EN43" i="1"/>
  <c r="CL31" i="22" s="1"/>
  <c r="ER31" i="1"/>
  <c r="EO31" i="1" s="1"/>
  <c r="EU31" i="1" s="1"/>
  <c r="EN31" i="1"/>
  <c r="CL19" i="22" s="1"/>
  <c r="ER30" i="1"/>
  <c r="EO30" i="1" s="1"/>
  <c r="EU30" i="1" s="1"/>
  <c r="ER44" i="1"/>
  <c r="EO44" i="1" s="1"/>
  <c r="EU44" i="1" s="1"/>
  <c r="EN44" i="1"/>
  <c r="CL32" i="22" s="1"/>
  <c r="ER45" i="1"/>
  <c r="EO45" i="1" s="1"/>
  <c r="EU45" i="1" s="1"/>
  <c r="EN45" i="1"/>
  <c r="CL33" i="22" s="1"/>
  <c r="ER37" i="1"/>
  <c r="EO37" i="1" s="1"/>
  <c r="EU37" i="1" s="1"/>
  <c r="EN37" i="1"/>
  <c r="CL25" i="22" s="1"/>
  <c r="ER36" i="1"/>
  <c r="EO36" i="1" s="1"/>
  <c r="EU36" i="1" s="1"/>
  <c r="EN36" i="1"/>
  <c r="CL24" i="22" s="1"/>
  <c r="ER38" i="1"/>
  <c r="EO38" i="1" s="1"/>
  <c r="EU38" i="1" s="1"/>
  <c r="EN38" i="1"/>
  <c r="CL26" i="22" s="1"/>
  <c r="ER40" i="1"/>
  <c r="EO40" i="1" s="1"/>
  <c r="EU40" i="1" s="1"/>
  <c r="EN40" i="1"/>
  <c r="CL28" i="22" s="1"/>
  <c r="EO35" i="1"/>
  <c r="EU35" i="1" s="1"/>
  <c r="EO47" i="1"/>
  <c r="EU47" i="1" s="1"/>
  <c r="BL23" i="1"/>
  <c r="BM23" i="1" s="1"/>
  <c r="BL22" i="1"/>
  <c r="BM22" i="1" s="1"/>
  <c r="JG22" i="1"/>
  <c r="JH22" i="1" s="1"/>
  <c r="JG19" i="1"/>
  <c r="JH19" i="1" s="1"/>
  <c r="JG20" i="1"/>
  <c r="JH20" i="1" s="1"/>
  <c r="JG21" i="1"/>
  <c r="JH21" i="1" s="1"/>
  <c r="BL19" i="1"/>
  <c r="BM19" i="1" s="1"/>
  <c r="BL20" i="1"/>
  <c r="BM20" i="1" s="1"/>
  <c r="BL21" i="1"/>
  <c r="BM21" i="1" s="1"/>
  <c r="VS21" i="1"/>
  <c r="VT21" i="1" s="1"/>
  <c r="BN38" i="18" s="1"/>
  <c r="VS19" i="1"/>
  <c r="VT19" i="1" s="1"/>
  <c r="VS20" i="1"/>
  <c r="VT20" i="1" s="1"/>
  <c r="BN37" i="18" s="1"/>
  <c r="NC21" i="1"/>
  <c r="ND21" i="1" s="1"/>
  <c r="NW21" i="1"/>
  <c r="NX21" i="1" s="1"/>
  <c r="KP19" i="1"/>
  <c r="NM20" i="1"/>
  <c r="NN20" i="1" s="1"/>
  <c r="MS19" i="1"/>
  <c r="MT19" i="1" s="1"/>
  <c r="OG20" i="1"/>
  <c r="OH20" i="1" s="1"/>
  <c r="NW20" i="1"/>
  <c r="NX20" i="1" s="1"/>
  <c r="UN20" i="1"/>
  <c r="KP21" i="1"/>
  <c r="KQ21" i="1" s="1"/>
  <c r="NM19" i="1"/>
  <c r="NC20" i="1"/>
  <c r="ND20" i="1" s="1"/>
  <c r="OG19" i="1"/>
  <c r="OH19" i="1" s="1"/>
  <c r="NW19" i="1"/>
  <c r="NX19" i="1" s="1"/>
  <c r="UN19" i="1"/>
  <c r="KP20" i="1"/>
  <c r="KQ20" i="1" s="1"/>
  <c r="JQ19" i="1"/>
  <c r="JR19" i="1" s="1"/>
  <c r="MS21" i="1"/>
  <c r="MT21" i="1" s="1"/>
  <c r="NC19" i="1"/>
  <c r="OG21" i="1"/>
  <c r="OH21" i="1" s="1"/>
  <c r="UN21" i="1"/>
  <c r="NM21" i="1"/>
  <c r="NN21" i="1" s="1"/>
  <c r="MS20" i="1"/>
  <c r="MT20" i="1" s="1"/>
  <c r="TS20" i="1"/>
  <c r="TT20" i="1" s="1"/>
  <c r="BH37" i="18" s="1"/>
  <c r="TS22" i="1"/>
  <c r="TT22" i="1" s="1"/>
  <c r="BH39" i="18" s="1"/>
  <c r="TS19" i="1"/>
  <c r="TT19" i="1" s="1"/>
  <c r="TS21" i="1"/>
  <c r="TT21" i="1" s="1"/>
  <c r="BH38" i="18" s="1"/>
  <c r="UO21" i="1"/>
  <c r="BJ38" i="18" s="1"/>
  <c r="UO20" i="1"/>
  <c r="BJ37" i="18" s="1"/>
  <c r="UO19" i="1"/>
  <c r="EG21" i="1"/>
  <c r="NX42" i="1"/>
  <c r="JH25" i="1"/>
  <c r="LH21" i="1"/>
  <c r="EG24" i="1"/>
  <c r="LH20" i="1"/>
  <c r="JO21" i="1"/>
  <c r="NX25" i="1"/>
  <c r="OH25" i="1"/>
  <c r="EG25" i="1"/>
  <c r="NN26" i="1"/>
  <c r="OH39" i="1"/>
  <c r="LK41" i="1"/>
  <c r="KQ26" i="1"/>
  <c r="OH24" i="1"/>
  <c r="MT38" i="1"/>
  <c r="LK40" i="1"/>
  <c r="MT24" i="1"/>
  <c r="JO20" i="1"/>
  <c r="NX37" i="1"/>
  <c r="ND26" i="1"/>
  <c r="EG19" i="1"/>
  <c r="JT19" i="1"/>
  <c r="NN19" i="1"/>
  <c r="LH19" i="1"/>
  <c r="KQ19" i="1"/>
  <c r="ND19" i="1"/>
  <c r="DU41" i="1"/>
  <c r="DP24" i="1"/>
  <c r="Q35" i="22"/>
  <c r="Q29" i="22"/>
  <c r="Q16" i="22"/>
  <c r="Q28" i="22"/>
  <c r="DP26" i="1"/>
  <c r="DU30" i="1"/>
  <c r="Q18" i="22"/>
  <c r="DO21" i="1"/>
  <c r="Q19" i="22"/>
  <c r="DU40" i="1"/>
  <c r="Q20" i="22"/>
  <c r="Q34" i="22"/>
  <c r="DO20" i="1"/>
  <c r="DU35" i="1"/>
  <c r="Q24" i="22"/>
  <c r="Q31" i="22"/>
  <c r="Q33" i="22"/>
  <c r="DU29" i="1"/>
  <c r="Q27" i="22"/>
  <c r="Q23" i="22"/>
  <c r="DU36" i="1"/>
  <c r="Q17" i="22"/>
  <c r="DU44" i="1"/>
  <c r="Q32" i="22"/>
  <c r="Q22" i="22"/>
  <c r="JU19" i="1" l="1"/>
  <c r="OJ25" i="1"/>
  <c r="JX26" i="1"/>
  <c r="CQ14" i="22" s="1"/>
  <c r="CR14" i="22" s="1"/>
  <c r="ON42" i="1"/>
  <c r="JX25" i="1"/>
  <c r="CQ13" i="22" s="1"/>
  <c r="CR13" i="22" s="1"/>
  <c r="ER26" i="1"/>
  <c r="EO26" i="1" s="1"/>
  <c r="EU26" i="1" s="1"/>
  <c r="DR24" i="1"/>
  <c r="DS24" i="1" s="1"/>
  <c r="P12" i="22" s="1"/>
  <c r="R41" i="18"/>
  <c r="JW43" i="1"/>
  <c r="JZ43" i="1" s="1"/>
  <c r="W13" i="22"/>
  <c r="W12" i="22"/>
  <c r="W9" i="22"/>
  <c r="JW41" i="1"/>
  <c r="JZ41" i="1" s="1"/>
  <c r="AX39" i="18"/>
  <c r="OK22" i="1"/>
  <c r="AT57" i="18"/>
  <c r="LO40" i="1"/>
  <c r="AT58" i="18"/>
  <c r="LO41" i="1"/>
  <c r="LS41" i="1" s="1"/>
  <c r="AZ56" i="18"/>
  <c r="OL39" i="1"/>
  <c r="BB59" i="18"/>
  <c r="OM42" i="1"/>
  <c r="BD55" i="18"/>
  <c r="ON38" i="1"/>
  <c r="BD56" i="18"/>
  <c r="ON39" i="1"/>
  <c r="DR26" i="1"/>
  <c r="DS26" i="1" s="1"/>
  <c r="AX43" i="18"/>
  <c r="OK26" i="1"/>
  <c r="AV55" i="18"/>
  <c r="OJ38" i="1"/>
  <c r="AZ43" i="18"/>
  <c r="OL26" i="1"/>
  <c r="AZ54" i="18"/>
  <c r="OL37" i="1"/>
  <c r="BB54" i="18"/>
  <c r="OM37" i="1"/>
  <c r="BD41" i="18"/>
  <c r="ON24" i="1"/>
  <c r="R43" i="18"/>
  <c r="JW42" i="1"/>
  <c r="JY42" i="1" s="1"/>
  <c r="LT43" i="1"/>
  <c r="LS43" i="1"/>
  <c r="LP43" i="1"/>
  <c r="LQ43" i="1"/>
  <c r="LT41" i="1"/>
  <c r="AT43" i="18"/>
  <c r="LO26" i="1"/>
  <c r="BD42" i="18"/>
  <c r="ON25" i="1"/>
  <c r="AV41" i="18"/>
  <c r="OJ24" i="1"/>
  <c r="AL42" i="18"/>
  <c r="ON28" i="1"/>
  <c r="JX40" i="1"/>
  <c r="CQ28" i="22" s="1"/>
  <c r="CR28" i="22" s="1"/>
  <c r="OM40" i="1"/>
  <c r="OO40" i="1" s="1"/>
  <c r="ON27" i="1"/>
  <c r="OO27" i="1" s="1"/>
  <c r="OL29" i="1"/>
  <c r="OM29" i="1"/>
  <c r="OM28" i="1"/>
  <c r="ON29" i="1"/>
  <c r="BD9" i="22"/>
  <c r="BD8" i="22"/>
  <c r="AN41" i="18"/>
  <c r="JX24" i="1"/>
  <c r="CQ12" i="22" s="1"/>
  <c r="CR12" i="22" s="1"/>
  <c r="AL57" i="18"/>
  <c r="JW38" i="1"/>
  <c r="JW37" i="1"/>
  <c r="JW35" i="1"/>
  <c r="JW40" i="1"/>
  <c r="JW36" i="1"/>
  <c r="JW39" i="1"/>
  <c r="AV47" i="18"/>
  <c r="OJ30" i="1"/>
  <c r="BD47" i="18"/>
  <c r="ON30" i="1"/>
  <c r="AV40" i="18"/>
  <c r="OJ23" i="1"/>
  <c r="OL25" i="1"/>
  <c r="AZ42" i="18"/>
  <c r="BD43" i="18"/>
  <c r="ON26" i="1"/>
  <c r="AX41" i="18"/>
  <c r="OK24" i="1"/>
  <c r="AX40" i="18"/>
  <c r="OK23" i="1"/>
  <c r="BB42" i="18"/>
  <c r="OM25" i="1"/>
  <c r="AZ41" i="18"/>
  <c r="AV39" i="18"/>
  <c r="OJ22" i="1"/>
  <c r="AN40" i="18"/>
  <c r="JX23" i="1"/>
  <c r="CQ11" i="22" s="1"/>
  <c r="CR11" i="22" s="1"/>
  <c r="BD40" i="18"/>
  <c r="BB40" i="18"/>
  <c r="AL40" i="18"/>
  <c r="R40" i="18"/>
  <c r="DX29" i="1"/>
  <c r="DX36" i="1"/>
  <c r="DX44" i="1"/>
  <c r="DX40" i="1"/>
  <c r="DX35" i="1"/>
  <c r="DX30" i="1"/>
  <c r="DX41" i="1"/>
  <c r="OL24" i="1"/>
  <c r="ON23" i="1"/>
  <c r="OM23" i="1"/>
  <c r="OL23" i="1"/>
  <c r="R17" i="22"/>
  <c r="R34" i="22"/>
  <c r="R29" i="22"/>
  <c r="R24" i="22"/>
  <c r="R19" i="22"/>
  <c r="R35" i="22"/>
  <c r="R22" i="22"/>
  <c r="R23" i="22"/>
  <c r="R33" i="22"/>
  <c r="R16" i="22"/>
  <c r="R18" i="22"/>
  <c r="R27" i="22"/>
  <c r="R31" i="22"/>
  <c r="R20" i="22"/>
  <c r="R32" i="22"/>
  <c r="R28" i="22"/>
  <c r="LT27" i="1"/>
  <c r="JW33" i="1"/>
  <c r="JY33" i="1" s="1"/>
  <c r="JW31" i="1"/>
  <c r="JZ31" i="1" s="1"/>
  <c r="AT50" i="18"/>
  <c r="LO33" i="1"/>
  <c r="AZ39" i="18"/>
  <c r="OL22" i="1"/>
  <c r="AT41" i="18"/>
  <c r="LO24" i="1"/>
  <c r="LT24" i="1" s="1"/>
  <c r="AP50" i="18"/>
  <c r="LM33" i="1"/>
  <c r="AT42" i="18"/>
  <c r="LO25" i="1"/>
  <c r="LT25" i="1" s="1"/>
  <c r="AP43" i="18"/>
  <c r="LM26" i="1"/>
  <c r="BD39" i="18"/>
  <c r="ON22" i="1"/>
  <c r="BB39" i="18"/>
  <c r="OM22" i="1"/>
  <c r="AT39" i="18"/>
  <c r="LO22" i="1"/>
  <c r="AT40" i="18"/>
  <c r="LO23" i="1"/>
  <c r="LQ29" i="1"/>
  <c r="LR29" i="1"/>
  <c r="LV29" i="1" s="1"/>
  <c r="LP29" i="1"/>
  <c r="JW25" i="1"/>
  <c r="JW28" i="1"/>
  <c r="JW23" i="1"/>
  <c r="JW30" i="1"/>
  <c r="JW24" i="1"/>
  <c r="JW32" i="1"/>
  <c r="LQ28" i="1"/>
  <c r="LP28" i="1"/>
  <c r="LR28" i="1"/>
  <c r="LS28" i="1"/>
  <c r="LT31" i="1"/>
  <c r="LV31" i="1" s="1"/>
  <c r="LP31" i="1"/>
  <c r="LQ31" i="1"/>
  <c r="JW34" i="1"/>
  <c r="LT28" i="1"/>
  <c r="JW27" i="1"/>
  <c r="JW26" i="1"/>
  <c r="JW29" i="1"/>
  <c r="LR27" i="1"/>
  <c r="LQ27" i="1"/>
  <c r="LP27" i="1"/>
  <c r="LS27" i="1"/>
  <c r="LT48" i="1"/>
  <c r="LV48" i="1" s="1"/>
  <c r="LP48" i="1"/>
  <c r="LQ48" i="1"/>
  <c r="DV29" i="1"/>
  <c r="DV41" i="1"/>
  <c r="DV30" i="1"/>
  <c r="DV36" i="1"/>
  <c r="DV44" i="1"/>
  <c r="DV35" i="1"/>
  <c r="DV40" i="1"/>
  <c r="P13" i="22"/>
  <c r="P21" i="22"/>
  <c r="P25" i="22"/>
  <c r="P26" i="22"/>
  <c r="P15" i="22"/>
  <c r="P30" i="22"/>
  <c r="P36" i="22"/>
  <c r="W7" i="22"/>
  <c r="AP40" i="18"/>
  <c r="LM23" i="1"/>
  <c r="AP39" i="18"/>
  <c r="AP37" i="18"/>
  <c r="LM20" i="1"/>
  <c r="LJ19" i="1"/>
  <c r="LJ20" i="1"/>
  <c r="LK20" i="1" s="1"/>
  <c r="K10" i="4"/>
  <c r="JW48" i="1"/>
  <c r="R37" i="18"/>
  <c r="AN36" i="18"/>
  <c r="R36" i="18"/>
  <c r="AZ36" i="18"/>
  <c r="BB36" i="18"/>
  <c r="AX36" i="18"/>
  <c r="BD36" i="18"/>
  <c r="AP36" i="18"/>
  <c r="LM19" i="1"/>
  <c r="AV36" i="18"/>
  <c r="BD38" i="18"/>
  <c r="AP38" i="18"/>
  <c r="LM21" i="1"/>
  <c r="AL37" i="18"/>
  <c r="BH36" i="18"/>
  <c r="BN36" i="18"/>
  <c r="BJ36" i="18"/>
  <c r="BD37" i="18"/>
  <c r="OM21" i="1"/>
  <c r="BB38" i="18"/>
  <c r="OM20" i="1"/>
  <c r="BB37" i="18"/>
  <c r="OL21" i="1"/>
  <c r="AZ38" i="18"/>
  <c r="OL20" i="1"/>
  <c r="AZ37" i="18"/>
  <c r="OL19" i="1"/>
  <c r="OK20" i="1"/>
  <c r="AX37" i="18"/>
  <c r="OK21" i="1"/>
  <c r="AX38" i="18"/>
  <c r="OK19" i="1"/>
  <c r="OJ21" i="1"/>
  <c r="AV38" i="18"/>
  <c r="OJ20" i="1"/>
  <c r="AV37" i="18"/>
  <c r="OJ19" i="1"/>
  <c r="AN39" i="18"/>
  <c r="AL39" i="18"/>
  <c r="AL38" i="18"/>
  <c r="AL36" i="18"/>
  <c r="R39" i="18"/>
  <c r="R38" i="18"/>
  <c r="OM19" i="1"/>
  <c r="ON19" i="1"/>
  <c r="LJ21" i="1"/>
  <c r="LK21" i="1" s="1"/>
  <c r="LM22" i="1"/>
  <c r="ON21" i="1"/>
  <c r="ON20" i="1"/>
  <c r="ES21" i="1"/>
  <c r="JW19" i="1"/>
  <c r="JX22" i="1"/>
  <c r="CQ10" i="22" s="1"/>
  <c r="CR10" i="22" s="1"/>
  <c r="JQ21" i="1"/>
  <c r="JR21" i="1" s="1"/>
  <c r="JQ20" i="1"/>
  <c r="JR20" i="1" s="1"/>
  <c r="JX19" i="1"/>
  <c r="CQ7" i="22" s="1"/>
  <c r="CR7" i="22" s="1"/>
  <c r="JW21" i="1"/>
  <c r="JW20" i="1"/>
  <c r="JW22" i="1"/>
  <c r="EV31" i="1"/>
  <c r="EW31" i="1" s="1"/>
  <c r="EX31" i="1" s="1"/>
  <c r="EY31" i="1" s="1"/>
  <c r="FC31" i="1"/>
  <c r="RZ31" i="1" s="1"/>
  <c r="SD31" i="1" s="1"/>
  <c r="EV41" i="1"/>
  <c r="EW41" i="1" s="1"/>
  <c r="EX41" i="1" s="1"/>
  <c r="EY41" i="1" s="1"/>
  <c r="FC41" i="1"/>
  <c r="RZ41" i="1" s="1"/>
  <c r="SD41" i="1" s="1"/>
  <c r="EV34" i="1"/>
  <c r="EW34" i="1" s="1"/>
  <c r="EX34" i="1" s="1"/>
  <c r="EY34" i="1" s="1"/>
  <c r="FC34" i="1"/>
  <c r="RZ34" i="1" s="1"/>
  <c r="SD34" i="1" s="1"/>
  <c r="EV43" i="1"/>
  <c r="EW43" i="1" s="1"/>
  <c r="EX43" i="1" s="1"/>
  <c r="EY43" i="1" s="1"/>
  <c r="FC43" i="1"/>
  <c r="RZ43" i="1" s="1"/>
  <c r="SD43" i="1" s="1"/>
  <c r="EV39" i="1"/>
  <c r="EW39" i="1" s="1"/>
  <c r="EX39" i="1" s="1"/>
  <c r="EY39" i="1" s="1"/>
  <c r="FC39" i="1"/>
  <c r="RZ39" i="1" s="1"/>
  <c r="SD39" i="1" s="1"/>
  <c r="EV33" i="1"/>
  <c r="EW33" i="1" s="1"/>
  <c r="EX33" i="1" s="1"/>
  <c r="EY33" i="1" s="1"/>
  <c r="FC33" i="1"/>
  <c r="RZ33" i="1" s="1"/>
  <c r="SD33" i="1" s="1"/>
  <c r="EV38" i="1"/>
  <c r="EW38" i="1" s="1"/>
  <c r="EX38" i="1" s="1"/>
  <c r="EY38" i="1" s="1"/>
  <c r="FC38" i="1"/>
  <c r="RZ38" i="1" s="1"/>
  <c r="SD38" i="1" s="1"/>
  <c r="EV37" i="1"/>
  <c r="EW37" i="1" s="1"/>
  <c r="EX37" i="1" s="1"/>
  <c r="EY37" i="1" s="1"/>
  <c r="FC37" i="1"/>
  <c r="RZ37" i="1" s="1"/>
  <c r="SD37" i="1" s="1"/>
  <c r="EV44" i="1"/>
  <c r="EW44" i="1" s="1"/>
  <c r="EX44" i="1" s="1"/>
  <c r="EY44" i="1" s="1"/>
  <c r="FC44" i="1"/>
  <c r="RZ44" i="1" s="1"/>
  <c r="SD44" i="1" s="1"/>
  <c r="ET40" i="1"/>
  <c r="ET36" i="1"/>
  <c r="ET45" i="1"/>
  <c r="ET25" i="1"/>
  <c r="ET30" i="1"/>
  <c r="ET34" i="1"/>
  <c r="ET48" i="1"/>
  <c r="ET38" i="1"/>
  <c r="ET46" i="1"/>
  <c r="ET31" i="1"/>
  <c r="ET42" i="1"/>
  <c r="ET27" i="1"/>
  <c r="ET32" i="1"/>
  <c r="ET35" i="1"/>
  <c r="ET28" i="1"/>
  <c r="ET43" i="1"/>
  <c r="ET39" i="1"/>
  <c r="ET33" i="1"/>
  <c r="ET47" i="1"/>
  <c r="ET29" i="1"/>
  <c r="ET41" i="1"/>
  <c r="ET24" i="1"/>
  <c r="ET37" i="1"/>
  <c r="ET44" i="1"/>
  <c r="EG23" i="1"/>
  <c r="EG22" i="1"/>
  <c r="EG20" i="1"/>
  <c r="LK19" i="1"/>
  <c r="DU45" i="1"/>
  <c r="DU25" i="1"/>
  <c r="DU26" i="1"/>
  <c r="DW35" i="1"/>
  <c r="DY41" i="1"/>
  <c r="DW29" i="1"/>
  <c r="Q13" i="22"/>
  <c r="DU48" i="1"/>
  <c r="DY40" i="1"/>
  <c r="DW41" i="1"/>
  <c r="DP22" i="1"/>
  <c r="Q12" i="22"/>
  <c r="DU37" i="1"/>
  <c r="Q36" i="22"/>
  <c r="DU31" i="1"/>
  <c r="DU43" i="1"/>
  <c r="DW30" i="1"/>
  <c r="EI19" i="1"/>
  <c r="X12" i="22"/>
  <c r="Q21" i="22"/>
  <c r="DP23" i="1"/>
  <c r="DY35" i="1"/>
  <c r="X13" i="22"/>
  <c r="DU46" i="1"/>
  <c r="DU38" i="1"/>
  <c r="Q25" i="22"/>
  <c r="X7" i="22"/>
  <c r="DU42" i="1"/>
  <c r="DO19" i="1"/>
  <c r="DY30" i="1"/>
  <c r="Q15" i="22"/>
  <c r="DY36" i="1"/>
  <c r="DW36" i="1"/>
  <c r="EI25" i="1"/>
  <c r="DY44" i="1"/>
  <c r="DU32" i="1"/>
  <c r="DP19" i="1"/>
  <c r="DU34" i="1"/>
  <c r="DU39" i="1"/>
  <c r="DU24" i="1"/>
  <c r="DY29" i="1"/>
  <c r="DU33" i="1"/>
  <c r="EI21" i="1"/>
  <c r="X9" i="22"/>
  <c r="DU47" i="1"/>
  <c r="JV19" i="1"/>
  <c r="DP20" i="1"/>
  <c r="DW40" i="1"/>
  <c r="EI24" i="1"/>
  <c r="DP21" i="1"/>
  <c r="DU28" i="1"/>
  <c r="DU27" i="1"/>
  <c r="Q26" i="22"/>
  <c r="DW44" i="1"/>
  <c r="Q30" i="22"/>
  <c r="DX46" i="1" l="1"/>
  <c r="DV46" i="1"/>
  <c r="DX28" i="1"/>
  <c r="DV28" i="1"/>
  <c r="BE7" i="22"/>
  <c r="BC7" i="22" s="1"/>
  <c r="OP42" i="1"/>
  <c r="ET26" i="1"/>
  <c r="EJ21" i="1"/>
  <c r="EL21" i="1"/>
  <c r="EL24" i="1"/>
  <c r="EJ24" i="1"/>
  <c r="EJ25" i="1"/>
  <c r="EL25" i="1"/>
  <c r="JY43" i="1"/>
  <c r="KA43" i="1" s="1"/>
  <c r="KC43" i="1" s="1"/>
  <c r="JY41" i="1"/>
  <c r="KA41" i="1" s="1"/>
  <c r="KD41" i="1" s="1"/>
  <c r="KE41" i="1" s="1"/>
  <c r="OP39" i="1"/>
  <c r="OO42" i="1"/>
  <c r="LP41" i="1"/>
  <c r="OO39" i="1"/>
  <c r="CZ27" i="22" s="1"/>
  <c r="LQ41" i="1"/>
  <c r="JZ42" i="1"/>
  <c r="KA42" i="1" s="1"/>
  <c r="KD42" i="1" s="1"/>
  <c r="KE42" i="1" s="1"/>
  <c r="OO37" i="1"/>
  <c r="CZ25" i="22" s="1"/>
  <c r="OO38" i="1"/>
  <c r="CZ26" i="22" s="1"/>
  <c r="OP37" i="1"/>
  <c r="W8" i="22"/>
  <c r="Y12" i="22"/>
  <c r="Z12" i="22" s="1"/>
  <c r="Y13" i="22"/>
  <c r="Z13" i="22" s="1"/>
  <c r="Y9" i="22"/>
  <c r="Z9" i="22" s="1"/>
  <c r="MJ43" i="1"/>
  <c r="SB43" i="1" s="1"/>
  <c r="SM43" i="1" s="1"/>
  <c r="DX26" i="1"/>
  <c r="DV26" i="1"/>
  <c r="OP38" i="1"/>
  <c r="LP40" i="1"/>
  <c r="LQ40" i="1"/>
  <c r="LT40" i="1"/>
  <c r="P14" i="22"/>
  <c r="LV41" i="1"/>
  <c r="LU41" i="1"/>
  <c r="LV43" i="1"/>
  <c r="LU43" i="1"/>
  <c r="S20" i="22"/>
  <c r="S18" i="22"/>
  <c r="S22" i="22"/>
  <c r="S29" i="22"/>
  <c r="S31" i="22"/>
  <c r="S16" i="22"/>
  <c r="S35" i="22"/>
  <c r="S34" i="22"/>
  <c r="S28" i="22"/>
  <c r="S27" i="22"/>
  <c r="S33" i="22"/>
  <c r="S19" i="22"/>
  <c r="S17" i="22"/>
  <c r="S32" i="22"/>
  <c r="S23" i="22"/>
  <c r="S24" i="22"/>
  <c r="LV27" i="1"/>
  <c r="LV28" i="1"/>
  <c r="LU48" i="1"/>
  <c r="LU31" i="1"/>
  <c r="LU29" i="1"/>
  <c r="CZ15" i="22"/>
  <c r="CZ28" i="22"/>
  <c r="LT26" i="1"/>
  <c r="DX31" i="1"/>
  <c r="DV31" i="1"/>
  <c r="DV45" i="1"/>
  <c r="DX45" i="1"/>
  <c r="OO28" i="1"/>
  <c r="OP27" i="1"/>
  <c r="OO29" i="1"/>
  <c r="OP29" i="1"/>
  <c r="OP28" i="1"/>
  <c r="OP40" i="1"/>
  <c r="V29" i="22"/>
  <c r="V28" i="22"/>
  <c r="V24" i="22"/>
  <c r="V18" i="22"/>
  <c r="V32" i="22"/>
  <c r="V17" i="22"/>
  <c r="V23" i="22"/>
  <c r="JY40" i="1"/>
  <c r="JZ40" i="1"/>
  <c r="JZ35" i="1"/>
  <c r="JY35" i="1"/>
  <c r="JZ39" i="1"/>
  <c r="JY39" i="1"/>
  <c r="JZ37" i="1"/>
  <c r="JY37" i="1"/>
  <c r="JZ36" i="1"/>
  <c r="JY36" i="1"/>
  <c r="JY38" i="1"/>
  <c r="JZ38" i="1"/>
  <c r="DV47" i="1"/>
  <c r="DX47" i="1"/>
  <c r="DV39" i="1"/>
  <c r="DX39" i="1"/>
  <c r="DX32" i="1"/>
  <c r="DV32" i="1"/>
  <c r="DX43" i="1"/>
  <c r="DV43" i="1"/>
  <c r="DV34" i="1"/>
  <c r="DX34" i="1"/>
  <c r="OO30" i="1"/>
  <c r="OP30" i="1"/>
  <c r="OO25" i="1"/>
  <c r="OP25" i="1"/>
  <c r="OP24" i="1"/>
  <c r="OO24" i="1"/>
  <c r="OO26" i="1"/>
  <c r="OP26" i="1"/>
  <c r="W10" i="22"/>
  <c r="W11" i="22"/>
  <c r="EL19" i="1"/>
  <c r="DX25" i="1"/>
  <c r="DX38" i="1"/>
  <c r="DX27" i="1"/>
  <c r="DX42" i="1"/>
  <c r="DX37" i="1"/>
  <c r="DX48" i="1"/>
  <c r="DX33" i="1"/>
  <c r="DX24" i="1"/>
  <c r="OO23" i="1"/>
  <c r="OP23" i="1"/>
  <c r="JZ33" i="1"/>
  <c r="KA33" i="1" s="1"/>
  <c r="KB33" i="1" s="1"/>
  <c r="Y7" i="22"/>
  <c r="R15" i="22"/>
  <c r="R21" i="22"/>
  <c r="R26" i="22"/>
  <c r="R13" i="22"/>
  <c r="R36" i="22"/>
  <c r="R25" i="22"/>
  <c r="R30" i="22"/>
  <c r="R12" i="22"/>
  <c r="OO22" i="1"/>
  <c r="JY31" i="1"/>
  <c r="OP22" i="1"/>
  <c r="LQ25" i="1"/>
  <c r="LQ24" i="1"/>
  <c r="LS25" i="1"/>
  <c r="LR25" i="1"/>
  <c r="LP24" i="1"/>
  <c r="LR24" i="1"/>
  <c r="LP25" i="1"/>
  <c r="LS24" i="1"/>
  <c r="LT33" i="1"/>
  <c r="MJ48" i="1"/>
  <c r="SB48" i="1" s="1"/>
  <c r="SF48" i="1" s="1"/>
  <c r="LU27" i="1"/>
  <c r="JY27" i="1"/>
  <c r="JZ27" i="1"/>
  <c r="MJ31" i="1"/>
  <c r="SB31" i="1" s="1"/>
  <c r="SF31" i="1" s="1"/>
  <c r="MJ28" i="1"/>
  <c r="SB28" i="1" s="1"/>
  <c r="SF28" i="1" s="1"/>
  <c r="JZ24" i="1"/>
  <c r="JY24" i="1"/>
  <c r="JY25" i="1"/>
  <c r="JZ25" i="1"/>
  <c r="LR26" i="1"/>
  <c r="LQ26" i="1"/>
  <c r="LP26" i="1"/>
  <c r="LS26" i="1"/>
  <c r="LQ33" i="1"/>
  <c r="LR33" i="1"/>
  <c r="LP33" i="1"/>
  <c r="LS33" i="1"/>
  <c r="MJ27" i="1"/>
  <c r="SB27" i="1" s="1"/>
  <c r="SF27" i="1" s="1"/>
  <c r="JZ29" i="1"/>
  <c r="JY29" i="1"/>
  <c r="JZ30" i="1"/>
  <c r="JY30" i="1"/>
  <c r="MJ29" i="1"/>
  <c r="SB29" i="1" s="1"/>
  <c r="SF29" i="1" s="1"/>
  <c r="JZ26" i="1"/>
  <c r="JY26" i="1"/>
  <c r="JZ34" i="1"/>
  <c r="JY34" i="1"/>
  <c r="JY23" i="1"/>
  <c r="JZ23" i="1"/>
  <c r="LU28" i="1"/>
  <c r="JY32" i="1"/>
  <c r="JZ32" i="1"/>
  <c r="JZ28" i="1"/>
  <c r="JY28" i="1"/>
  <c r="EJ19" i="1"/>
  <c r="DV42" i="1"/>
  <c r="DV38" i="1"/>
  <c r="DV24" i="1"/>
  <c r="DV25" i="1"/>
  <c r="DV48" i="1"/>
  <c r="DV27" i="1"/>
  <c r="DV37" i="1"/>
  <c r="DV33" i="1"/>
  <c r="SK37" i="1"/>
  <c r="CK25" i="22"/>
  <c r="CM25" i="22" s="1"/>
  <c r="SK33" i="1"/>
  <c r="CK21" i="22"/>
  <c r="CM21" i="22" s="1"/>
  <c r="SK43" i="1"/>
  <c r="CK31" i="22"/>
  <c r="CM31" i="22" s="1"/>
  <c r="SK41" i="1"/>
  <c r="CK29" i="22"/>
  <c r="CM29" i="22" s="1"/>
  <c r="SK44" i="1"/>
  <c r="CK32" i="22"/>
  <c r="CM32" i="22" s="1"/>
  <c r="SK38" i="1"/>
  <c r="CK26" i="22"/>
  <c r="CM26" i="22" s="1"/>
  <c r="SK39" i="1"/>
  <c r="CK27" i="22"/>
  <c r="CM27" i="22" s="1"/>
  <c r="SK34" i="1"/>
  <c r="CK22" i="22"/>
  <c r="CM22" i="22" s="1"/>
  <c r="SK31" i="1"/>
  <c r="CK19" i="22"/>
  <c r="CM19" i="22" s="1"/>
  <c r="LS22" i="1"/>
  <c r="LT22" i="1"/>
  <c r="LS23" i="1"/>
  <c r="LT23" i="1"/>
  <c r="LR22" i="1"/>
  <c r="LR23" i="1"/>
  <c r="LQ23" i="1"/>
  <c r="LP23" i="1"/>
  <c r="AT36" i="18"/>
  <c r="LO19" i="1"/>
  <c r="LT19" i="1" s="1"/>
  <c r="AT37" i="18"/>
  <c r="LO20" i="1"/>
  <c r="K11" i="4"/>
  <c r="JZ48" i="1"/>
  <c r="JY48" i="1"/>
  <c r="AT38" i="18"/>
  <c r="LO21" i="1"/>
  <c r="JX20" i="1"/>
  <c r="AN37" i="18"/>
  <c r="JX21" i="1"/>
  <c r="AN38" i="18"/>
  <c r="DQ21" i="1"/>
  <c r="DQ23" i="1"/>
  <c r="DR23" i="1" s="1"/>
  <c r="DS23" i="1" s="1"/>
  <c r="JZ22" i="1"/>
  <c r="LQ22" i="1"/>
  <c r="LP22" i="1"/>
  <c r="JZ19" i="1"/>
  <c r="DQ22" i="1"/>
  <c r="DR22" i="1" s="1"/>
  <c r="DS22" i="1" s="1"/>
  <c r="OO19" i="1"/>
  <c r="OP19" i="1"/>
  <c r="SH44" i="1"/>
  <c r="SI44" i="1"/>
  <c r="OO21" i="1"/>
  <c r="OP21" i="1"/>
  <c r="OO20" i="1"/>
  <c r="OP20" i="1"/>
  <c r="DQ20" i="1"/>
  <c r="DQ19" i="1"/>
  <c r="DR19" i="1" s="1"/>
  <c r="ES20" i="1"/>
  <c r="ES19" i="1"/>
  <c r="EZ44" i="1"/>
  <c r="FA44" i="1" s="1"/>
  <c r="EZ39" i="1"/>
  <c r="FA39" i="1" s="1"/>
  <c r="EZ31" i="1"/>
  <c r="FA31" i="1" s="1"/>
  <c r="EZ38" i="1"/>
  <c r="FA38" i="1" s="1"/>
  <c r="EZ34" i="1"/>
  <c r="FA34" i="1" s="1"/>
  <c r="EZ37" i="1"/>
  <c r="FA37" i="1" s="1"/>
  <c r="EZ33" i="1"/>
  <c r="FA33" i="1" s="1"/>
  <c r="EZ43" i="1"/>
  <c r="FA43" i="1" s="1"/>
  <c r="EZ41" i="1"/>
  <c r="FA41" i="1" s="1"/>
  <c r="JY22" i="1"/>
  <c r="JY19" i="1"/>
  <c r="EV26" i="1"/>
  <c r="EW26" i="1" s="1"/>
  <c r="EX26" i="1" s="1"/>
  <c r="EY26" i="1" s="1"/>
  <c r="FC26" i="1"/>
  <c r="RZ26" i="1" s="1"/>
  <c r="SD26" i="1" s="1"/>
  <c r="EV32" i="1"/>
  <c r="EW32" i="1" s="1"/>
  <c r="EX32" i="1" s="1"/>
  <c r="EY32" i="1" s="1"/>
  <c r="FC32" i="1"/>
  <c r="RZ32" i="1" s="1"/>
  <c r="SD32" i="1" s="1"/>
  <c r="EV24" i="1"/>
  <c r="EW24" i="1" s="1"/>
  <c r="EX24" i="1" s="1"/>
  <c r="EY24" i="1" s="1"/>
  <c r="FC24" i="1"/>
  <c r="RZ24" i="1" s="1"/>
  <c r="SD24" i="1" s="1"/>
  <c r="EV42" i="1"/>
  <c r="EW42" i="1" s="1"/>
  <c r="EX42" i="1" s="1"/>
  <c r="EY42" i="1" s="1"/>
  <c r="FC42" i="1"/>
  <c r="RZ42" i="1" s="1"/>
  <c r="SD42" i="1" s="1"/>
  <c r="EV45" i="1"/>
  <c r="EW45" i="1" s="1"/>
  <c r="EX45" i="1" s="1"/>
  <c r="EY45" i="1" s="1"/>
  <c r="FC45" i="1"/>
  <c r="RZ45" i="1" s="1"/>
  <c r="SD45" i="1" s="1"/>
  <c r="EV46" i="1"/>
  <c r="EW46" i="1" s="1"/>
  <c r="EX46" i="1" s="1"/>
  <c r="EY46" i="1" s="1"/>
  <c r="FC46" i="1"/>
  <c r="RZ46" i="1" s="1"/>
  <c r="SD46" i="1" s="1"/>
  <c r="EV35" i="1"/>
  <c r="EW35" i="1" s="1"/>
  <c r="EX35" i="1" s="1"/>
  <c r="EY35" i="1" s="1"/>
  <c r="FC35" i="1"/>
  <c r="RZ35" i="1" s="1"/>
  <c r="SD35" i="1" s="1"/>
  <c r="EV47" i="1"/>
  <c r="EW47" i="1" s="1"/>
  <c r="EX47" i="1" s="1"/>
  <c r="EY47" i="1" s="1"/>
  <c r="FC47" i="1"/>
  <c r="RZ47" i="1" s="1"/>
  <c r="SD47" i="1" s="1"/>
  <c r="EV27" i="1"/>
  <c r="EW27" i="1" s="1"/>
  <c r="EX27" i="1" s="1"/>
  <c r="EY27" i="1" s="1"/>
  <c r="FC27" i="1"/>
  <c r="RZ27" i="1" s="1"/>
  <c r="SD27" i="1" s="1"/>
  <c r="EV36" i="1"/>
  <c r="EW36" i="1" s="1"/>
  <c r="EX36" i="1" s="1"/>
  <c r="EY36" i="1" s="1"/>
  <c r="FC36" i="1"/>
  <c r="RZ36" i="1" s="1"/>
  <c r="SD36" i="1" s="1"/>
  <c r="EV29" i="1"/>
  <c r="EW29" i="1" s="1"/>
  <c r="EX29" i="1" s="1"/>
  <c r="EY29" i="1" s="1"/>
  <c r="FC29" i="1"/>
  <c r="RZ29" i="1" s="1"/>
  <c r="SD29" i="1" s="1"/>
  <c r="EV25" i="1"/>
  <c r="EW25" i="1" s="1"/>
  <c r="EX25" i="1" s="1"/>
  <c r="EY25" i="1" s="1"/>
  <c r="FC25" i="1"/>
  <c r="RZ25" i="1" s="1"/>
  <c r="SD25" i="1" s="1"/>
  <c r="EV48" i="1"/>
  <c r="EW48" i="1" s="1"/>
  <c r="EX48" i="1" s="1"/>
  <c r="EY48" i="1" s="1"/>
  <c r="FC48" i="1"/>
  <c r="RZ48" i="1" s="1"/>
  <c r="SD48" i="1" s="1"/>
  <c r="EV40" i="1"/>
  <c r="EW40" i="1" s="1"/>
  <c r="EX40" i="1" s="1"/>
  <c r="EY40" i="1" s="1"/>
  <c r="FC40" i="1"/>
  <c r="RZ40" i="1" s="1"/>
  <c r="SD40" i="1" s="1"/>
  <c r="EV28" i="1"/>
  <c r="EW28" i="1" s="1"/>
  <c r="EX28" i="1" s="1"/>
  <c r="EY28" i="1" s="1"/>
  <c r="FC28" i="1"/>
  <c r="RZ28" i="1" s="1"/>
  <c r="SD28" i="1" s="1"/>
  <c r="EV30" i="1"/>
  <c r="EW30" i="1" s="1"/>
  <c r="EX30" i="1" s="1"/>
  <c r="EY30" i="1" s="1"/>
  <c r="FC30" i="1"/>
  <c r="RZ30" i="1" s="1"/>
  <c r="SD30" i="1" s="1"/>
  <c r="HT23" i="1"/>
  <c r="HT28" i="1"/>
  <c r="HT27" i="1"/>
  <c r="X8" i="22"/>
  <c r="DY27" i="1"/>
  <c r="DW48" i="1"/>
  <c r="EM25" i="1"/>
  <c r="MA43" i="1"/>
  <c r="EK25" i="1"/>
  <c r="EK24" i="1"/>
  <c r="EK19" i="1"/>
  <c r="DW38" i="1"/>
  <c r="X11" i="22"/>
  <c r="DY28" i="1"/>
  <c r="DY24" i="1"/>
  <c r="DY39" i="1"/>
  <c r="DY42" i="1"/>
  <c r="DW32" i="1"/>
  <c r="EM21" i="1"/>
  <c r="EM19" i="1"/>
  <c r="DW28" i="1"/>
  <c r="DY45" i="1"/>
  <c r="DW46" i="1"/>
  <c r="DY47" i="1"/>
  <c r="DW47" i="1"/>
  <c r="EK21" i="1"/>
  <c r="DW37" i="1"/>
  <c r="DY31" i="1"/>
  <c r="DW24" i="1"/>
  <c r="DW33" i="1"/>
  <c r="DW31" i="1"/>
  <c r="DW27" i="1"/>
  <c r="X10" i="22"/>
  <c r="DW45" i="1"/>
  <c r="DY33" i="1"/>
  <c r="DY38" i="1"/>
  <c r="DY32" i="1"/>
  <c r="DW25" i="1"/>
  <c r="DW42" i="1"/>
  <c r="EI20" i="1"/>
  <c r="DW26" i="1"/>
  <c r="DW39" i="1"/>
  <c r="DW34" i="1"/>
  <c r="EI23" i="1"/>
  <c r="Q14" i="22"/>
  <c r="DW43" i="1"/>
  <c r="MA41" i="1"/>
  <c r="DY48" i="1"/>
  <c r="DY34" i="1"/>
  <c r="EI22" i="1"/>
  <c r="DY25" i="1"/>
  <c r="DY43" i="1"/>
  <c r="DY46" i="1"/>
  <c r="EM24" i="1"/>
  <c r="DY37" i="1"/>
  <c r="DY26" i="1"/>
  <c r="V16" i="22" l="1"/>
  <c r="V34" i="22"/>
  <c r="OQ42" i="1"/>
  <c r="OU42" i="1" s="1"/>
  <c r="OQ38" i="1"/>
  <c r="OU38" i="1" s="1"/>
  <c r="MJ40" i="1"/>
  <c r="SB40" i="1" s="1"/>
  <c r="SF40" i="1" s="1"/>
  <c r="CU28" i="22" s="1"/>
  <c r="CV28" i="22" s="1"/>
  <c r="MJ41" i="1"/>
  <c r="SB41" i="1" s="1"/>
  <c r="SM41" i="1" s="1"/>
  <c r="AC12" i="22"/>
  <c r="AC13" i="22"/>
  <c r="AC9" i="22"/>
  <c r="EL20" i="1"/>
  <c r="EJ20" i="1"/>
  <c r="CZ30" i="22"/>
  <c r="PB42" i="1"/>
  <c r="SF41" i="1"/>
  <c r="CU29" i="22" s="1"/>
  <c r="CV29" i="22" s="1"/>
  <c r="PB39" i="1"/>
  <c r="PB38" i="1"/>
  <c r="PC38" i="1" s="1"/>
  <c r="QB38" i="1" s="1"/>
  <c r="SF43" i="1"/>
  <c r="CU31" i="22" s="1"/>
  <c r="CV31" i="22" s="1"/>
  <c r="CW31" i="22" s="1"/>
  <c r="OQ39" i="1"/>
  <c r="OQ37" i="1"/>
  <c r="OR37" i="1" s="1"/>
  <c r="KG41" i="1"/>
  <c r="SA41" i="1" s="1"/>
  <c r="SE41" i="1" s="1"/>
  <c r="CO29" i="22" s="1"/>
  <c r="CS29" i="22" s="1"/>
  <c r="KB43" i="1"/>
  <c r="KG43" i="1"/>
  <c r="SA43" i="1" s="1"/>
  <c r="SE43" i="1" s="1"/>
  <c r="CO31" i="22" s="1"/>
  <c r="CS31" i="22" s="1"/>
  <c r="PB37" i="1"/>
  <c r="KB41" i="1"/>
  <c r="KC41" i="1"/>
  <c r="Y8" i="22"/>
  <c r="Z8" i="22" s="1"/>
  <c r="HU27" i="1"/>
  <c r="HU28" i="1"/>
  <c r="HY28" i="1" s="1"/>
  <c r="HU23" i="1"/>
  <c r="KD43" i="1"/>
  <c r="KE43" i="1" s="1"/>
  <c r="KC42" i="1"/>
  <c r="KG42" i="1"/>
  <c r="SA42" i="1" s="1"/>
  <c r="SE42" i="1" s="1"/>
  <c r="CO30" i="22" s="1"/>
  <c r="CS30" i="22" s="1"/>
  <c r="KB42" i="1"/>
  <c r="R14" i="22"/>
  <c r="V14" i="22"/>
  <c r="LU40" i="1"/>
  <c r="LV40" i="1"/>
  <c r="ME43" i="1"/>
  <c r="BI31" i="22" s="1"/>
  <c r="MC43" i="1"/>
  <c r="LW43" i="1"/>
  <c r="LW41" i="1"/>
  <c r="Z7" i="22"/>
  <c r="S36" i="22"/>
  <c r="S15" i="22"/>
  <c r="S12" i="22"/>
  <c r="S13" i="22"/>
  <c r="S30" i="22"/>
  <c r="S26" i="22"/>
  <c r="S25" i="22"/>
  <c r="S21" i="22"/>
  <c r="LW29" i="1"/>
  <c r="LY29" i="1" s="1"/>
  <c r="BG17" i="22" s="1"/>
  <c r="LW28" i="1"/>
  <c r="LW31" i="1"/>
  <c r="LY31" i="1" s="1"/>
  <c r="BG19" i="22" s="1"/>
  <c r="LW27" i="1"/>
  <c r="LX27" i="1" s="1"/>
  <c r="LZ27" i="1" s="1"/>
  <c r="LW48" i="1"/>
  <c r="LX48" i="1" s="1"/>
  <c r="LZ48" i="1" s="1"/>
  <c r="LV24" i="1"/>
  <c r="LV23" i="1"/>
  <c r="LV26" i="1"/>
  <c r="LV22" i="1"/>
  <c r="LV33" i="1"/>
  <c r="LV25" i="1"/>
  <c r="JZ21" i="1"/>
  <c r="CQ9" i="22"/>
  <c r="CR9" i="22" s="1"/>
  <c r="JZ20" i="1"/>
  <c r="CQ8" i="22"/>
  <c r="CR8" i="22" s="1"/>
  <c r="OQ28" i="1"/>
  <c r="OR28" i="1" s="1"/>
  <c r="OQ40" i="1"/>
  <c r="OR40" i="1" s="1"/>
  <c r="OQ27" i="1"/>
  <c r="OS27" i="1" s="1"/>
  <c r="PB24" i="1"/>
  <c r="PB23" i="1"/>
  <c r="PB22" i="1"/>
  <c r="PB20" i="1"/>
  <c r="PB30" i="1"/>
  <c r="PB29" i="1"/>
  <c r="PB21" i="1"/>
  <c r="PB26" i="1"/>
  <c r="PB25" i="1"/>
  <c r="PB28" i="1"/>
  <c r="QG28" i="1" s="1"/>
  <c r="PB40" i="1"/>
  <c r="QG40" i="1" s="1"/>
  <c r="PB27" i="1"/>
  <c r="QG27" i="1" s="1"/>
  <c r="PB19" i="1"/>
  <c r="CZ8" i="22"/>
  <c r="CZ10" i="22"/>
  <c r="CZ18" i="22"/>
  <c r="CZ17" i="22"/>
  <c r="CZ11" i="22"/>
  <c r="CZ9" i="22"/>
  <c r="CZ7" i="22"/>
  <c r="CZ14" i="22"/>
  <c r="CZ13" i="22"/>
  <c r="CZ16" i="22"/>
  <c r="CZ12" i="22"/>
  <c r="KA31" i="1"/>
  <c r="KB31" i="1" s="1"/>
  <c r="V33" i="22"/>
  <c r="V19" i="22"/>
  <c r="OQ29" i="1"/>
  <c r="AC7" i="22"/>
  <c r="V21" i="22"/>
  <c r="V15" i="22"/>
  <c r="V31" i="22"/>
  <c r="V36" i="22"/>
  <c r="V26" i="22"/>
  <c r="V22" i="22"/>
  <c r="V35" i="22"/>
  <c r="V25" i="22"/>
  <c r="V13" i="22"/>
  <c r="V20" i="22"/>
  <c r="V12" i="22"/>
  <c r="V30" i="22"/>
  <c r="V27" i="22"/>
  <c r="OX40" i="1"/>
  <c r="OY40" i="1" s="1"/>
  <c r="OZ40" i="1" s="1"/>
  <c r="KA38" i="1"/>
  <c r="KB38" i="1" s="1"/>
  <c r="KA37" i="1"/>
  <c r="KA35" i="1"/>
  <c r="KA36" i="1"/>
  <c r="KA39" i="1"/>
  <c r="KA40" i="1"/>
  <c r="OQ30" i="1"/>
  <c r="OQ25" i="1"/>
  <c r="OQ24" i="1"/>
  <c r="OQ26" i="1"/>
  <c r="EL22" i="1"/>
  <c r="EJ22" i="1"/>
  <c r="Y10" i="22"/>
  <c r="EJ23" i="1"/>
  <c r="EL23" i="1"/>
  <c r="Y11" i="22"/>
  <c r="OQ23" i="1"/>
  <c r="LU26" i="1"/>
  <c r="MJ25" i="1"/>
  <c r="SB25" i="1" s="1"/>
  <c r="SF25" i="1" s="1"/>
  <c r="MJ24" i="1"/>
  <c r="SB24" i="1" s="1"/>
  <c r="SF24" i="1" s="1"/>
  <c r="LU23" i="1"/>
  <c r="OQ22" i="1"/>
  <c r="LU25" i="1"/>
  <c r="KD33" i="1"/>
  <c r="KE33" i="1" s="1"/>
  <c r="KC33" i="1"/>
  <c r="KG33" i="1"/>
  <c r="SA33" i="1" s="1"/>
  <c r="KA23" i="1"/>
  <c r="LU24" i="1"/>
  <c r="KA29" i="1"/>
  <c r="KG29" i="1" s="1"/>
  <c r="SA29" i="1" s="1"/>
  <c r="SE29" i="1" s="1"/>
  <c r="KA34" i="1"/>
  <c r="KD34" i="1" s="1"/>
  <c r="KE34" i="1" s="1"/>
  <c r="LU33" i="1"/>
  <c r="KA24" i="1"/>
  <c r="SM28" i="1"/>
  <c r="CU16" i="22"/>
  <c r="CV16" i="22" s="1"/>
  <c r="CW16" i="22" s="1"/>
  <c r="KA27" i="1"/>
  <c r="SM29" i="1"/>
  <c r="CU17" i="22"/>
  <c r="CV17" i="22" s="1"/>
  <c r="CW17" i="22" s="1"/>
  <c r="SM31" i="1"/>
  <c r="CU19" i="22"/>
  <c r="CV19" i="22" s="1"/>
  <c r="CW19" i="22" s="1"/>
  <c r="KA32" i="1"/>
  <c r="KA26" i="1"/>
  <c r="KA30" i="1"/>
  <c r="SM27" i="1"/>
  <c r="CU15" i="22"/>
  <c r="KA25" i="1"/>
  <c r="KA28" i="1"/>
  <c r="MJ33" i="1"/>
  <c r="SB33" i="1" s="1"/>
  <c r="SF33" i="1" s="1"/>
  <c r="MJ26" i="1"/>
  <c r="SB26" i="1" s="1"/>
  <c r="SF26" i="1" s="1"/>
  <c r="SM48" i="1"/>
  <c r="CU36" i="22"/>
  <c r="CV36" i="22" s="1"/>
  <c r="CW36" i="22" s="1"/>
  <c r="P11" i="22"/>
  <c r="P10" i="22"/>
  <c r="SK30" i="1"/>
  <c r="CK18" i="22"/>
  <c r="CM18" i="22" s="1"/>
  <c r="SK40" i="1"/>
  <c r="CK28" i="22"/>
  <c r="CM28" i="22" s="1"/>
  <c r="SK25" i="1"/>
  <c r="CK13" i="22"/>
  <c r="CM13" i="22" s="1"/>
  <c r="SK36" i="1"/>
  <c r="CK24" i="22"/>
  <c r="CM24" i="22" s="1"/>
  <c r="SK47" i="1"/>
  <c r="CK35" i="22"/>
  <c r="CM35" i="22" s="1"/>
  <c r="SK46" i="1"/>
  <c r="CK34" i="22"/>
  <c r="CM34" i="22" s="1"/>
  <c r="SK42" i="1"/>
  <c r="CK30" i="22"/>
  <c r="CM30" i="22" s="1"/>
  <c r="SK32" i="1"/>
  <c r="CK20" i="22"/>
  <c r="CM20" i="22" s="1"/>
  <c r="SK28" i="1"/>
  <c r="CK16" i="22"/>
  <c r="CM16" i="22" s="1"/>
  <c r="SK48" i="1"/>
  <c r="CK36" i="22"/>
  <c r="CM36" i="22" s="1"/>
  <c r="SK29" i="1"/>
  <c r="CK17" i="22"/>
  <c r="CM17" i="22" s="1"/>
  <c r="SK27" i="1"/>
  <c r="CK15" i="22"/>
  <c r="CM15" i="22" s="1"/>
  <c r="SK35" i="1"/>
  <c r="CK23" i="22"/>
  <c r="CM23" i="22" s="1"/>
  <c r="SK45" i="1"/>
  <c r="CK33" i="22"/>
  <c r="CM33" i="22" s="1"/>
  <c r="SK24" i="1"/>
  <c r="CK12" i="22"/>
  <c r="CM12" i="22" s="1"/>
  <c r="SK26" i="1"/>
  <c r="CK14" i="22"/>
  <c r="CM14" i="22" s="1"/>
  <c r="LQ19" i="1"/>
  <c r="LU22" i="1"/>
  <c r="LR21" i="1"/>
  <c r="LT21" i="1"/>
  <c r="LR20" i="1"/>
  <c r="LT20" i="1"/>
  <c r="LS20" i="1"/>
  <c r="LS21" i="1"/>
  <c r="LS19" i="1"/>
  <c r="LR19" i="1"/>
  <c r="LQ20" i="1"/>
  <c r="LP20" i="1"/>
  <c r="MJ23" i="1"/>
  <c r="SB23" i="1" s="1"/>
  <c r="SF23" i="1" s="1"/>
  <c r="LP19" i="1"/>
  <c r="LQ21" i="1"/>
  <c r="K12" i="4"/>
  <c r="KA48" i="1"/>
  <c r="ER20" i="1"/>
  <c r="EO20" i="1" s="1"/>
  <c r="DR20" i="1"/>
  <c r="EN21" i="1"/>
  <c r="CL9" i="22" s="1"/>
  <c r="DR21" i="1"/>
  <c r="ER21" i="1"/>
  <c r="EO21" i="1" s="1"/>
  <c r="LP21" i="1"/>
  <c r="MJ22" i="1"/>
  <c r="SB22" i="1" s="1"/>
  <c r="SF22" i="1" s="1"/>
  <c r="JY21" i="1"/>
  <c r="JY20" i="1"/>
  <c r="SJ44" i="1"/>
  <c r="KA22" i="1"/>
  <c r="OQ20" i="1"/>
  <c r="OQ21" i="1"/>
  <c r="OQ19" i="1"/>
  <c r="KA19" i="1"/>
  <c r="SH47" i="1"/>
  <c r="SI47" i="1"/>
  <c r="SH46" i="1"/>
  <c r="SI46" i="1"/>
  <c r="SH45" i="1"/>
  <c r="SI45" i="1"/>
  <c r="EZ40" i="1"/>
  <c r="FA40" i="1" s="1"/>
  <c r="EZ36" i="1"/>
  <c r="FA36" i="1" s="1"/>
  <c r="EZ48" i="1"/>
  <c r="FA48" i="1" s="1"/>
  <c r="EZ27" i="1"/>
  <c r="FA27" i="1" s="1"/>
  <c r="EZ35" i="1"/>
  <c r="FA35" i="1" s="1"/>
  <c r="EZ45" i="1"/>
  <c r="FA45" i="1" s="1"/>
  <c r="EZ24" i="1"/>
  <c r="FA24" i="1" s="1"/>
  <c r="EZ26" i="1"/>
  <c r="FA26" i="1" s="1"/>
  <c r="EZ28" i="1"/>
  <c r="FA28" i="1" s="1"/>
  <c r="EZ29" i="1"/>
  <c r="FA29" i="1" s="1"/>
  <c r="EZ30" i="1"/>
  <c r="FA30" i="1" s="1"/>
  <c r="EZ25" i="1"/>
  <c r="FA25" i="1" s="1"/>
  <c r="EZ47" i="1"/>
  <c r="FA47" i="1" s="1"/>
  <c r="EZ46" i="1"/>
  <c r="FA46" i="1" s="1"/>
  <c r="EZ42" i="1"/>
  <c r="FA42" i="1" s="1"/>
  <c r="EZ32" i="1"/>
  <c r="FA32" i="1" s="1"/>
  <c r="ER19" i="1"/>
  <c r="EN19" i="1"/>
  <c r="EN20" i="1"/>
  <c r="CL8" i="22" s="1"/>
  <c r="ER22" i="1"/>
  <c r="EO22" i="1" s="1"/>
  <c r="EN22" i="1"/>
  <c r="CL10" i="22" s="1"/>
  <c r="ER23" i="1"/>
  <c r="EO23" i="1" s="1"/>
  <c r="EN23" i="1"/>
  <c r="CL11" i="22" s="1"/>
  <c r="DS19" i="1"/>
  <c r="CW28" i="22"/>
  <c r="HY27" i="1"/>
  <c r="II29" i="1"/>
  <c r="II22" i="1"/>
  <c r="II27" i="1"/>
  <c r="HT20" i="1"/>
  <c r="II24" i="1"/>
  <c r="CW29" i="22"/>
  <c r="HY23" i="1"/>
  <c r="II28" i="1"/>
  <c r="II23" i="1"/>
  <c r="CT31" i="22"/>
  <c r="MA27" i="1"/>
  <c r="MA40" i="1"/>
  <c r="CT30" i="22"/>
  <c r="EM20" i="1"/>
  <c r="MA48" i="1"/>
  <c r="MA29" i="1"/>
  <c r="CN25" i="22"/>
  <c r="MA28" i="1"/>
  <c r="HV23" i="1"/>
  <c r="CT29" i="22"/>
  <c r="MA31" i="1"/>
  <c r="EK20" i="1"/>
  <c r="HV27" i="1"/>
  <c r="HV28" i="1"/>
  <c r="EK22" i="1"/>
  <c r="CX17" i="22"/>
  <c r="OS42" i="1" l="1"/>
  <c r="OT42" i="1"/>
  <c r="OT38" i="1"/>
  <c r="OR42" i="1"/>
  <c r="OS38" i="1"/>
  <c r="OR38" i="1"/>
  <c r="PC42" i="1"/>
  <c r="QD42" i="1" s="1"/>
  <c r="SM40" i="1"/>
  <c r="AC8" i="22"/>
  <c r="PC39" i="1"/>
  <c r="QB39" i="1" s="1"/>
  <c r="SL43" i="1"/>
  <c r="OR39" i="1"/>
  <c r="OT39" i="1"/>
  <c r="OU39" i="1"/>
  <c r="RP39" i="1" s="1"/>
  <c r="RQ39" i="1" s="1"/>
  <c r="RR39" i="1" s="1"/>
  <c r="RS39" i="1" s="1"/>
  <c r="RT39" i="1" s="1"/>
  <c r="RU39" i="1" s="1"/>
  <c r="RV39" i="1" s="1"/>
  <c r="OS39" i="1"/>
  <c r="OT37" i="1"/>
  <c r="PC37" i="1"/>
  <c r="PJ37" i="1" s="1"/>
  <c r="SL41" i="1"/>
  <c r="OS37" i="1"/>
  <c r="HZ23" i="1"/>
  <c r="HZ28" i="1"/>
  <c r="HZ27" i="1"/>
  <c r="OU37" i="1"/>
  <c r="RP37" i="1" s="1"/>
  <c r="RQ37" i="1" s="1"/>
  <c r="RR37" i="1" s="1"/>
  <c r="RS37" i="1" s="1"/>
  <c r="RT37" i="1" s="1"/>
  <c r="RU37" i="1" s="1"/>
  <c r="RV37" i="1" s="1"/>
  <c r="SH41" i="1"/>
  <c r="SI41" i="1"/>
  <c r="SH43" i="1"/>
  <c r="SI43" i="1"/>
  <c r="SL42" i="1"/>
  <c r="HU20" i="1"/>
  <c r="HY20" i="1" s="1"/>
  <c r="IJ22" i="1"/>
  <c r="IN22" i="1" s="1"/>
  <c r="IJ23" i="1"/>
  <c r="IJ28" i="1"/>
  <c r="IN28" i="1" s="1"/>
  <c r="IJ27" i="1"/>
  <c r="IN27" i="1" s="1"/>
  <c r="IJ29" i="1"/>
  <c r="IN29" i="1" s="1"/>
  <c r="IJ24" i="1"/>
  <c r="IN24" i="1" s="1"/>
  <c r="PG38" i="1"/>
  <c r="PJ38" i="1"/>
  <c r="QA38" i="1"/>
  <c r="LW40" i="1"/>
  <c r="OY42" i="1"/>
  <c r="OZ42" i="1"/>
  <c r="OV38" i="1"/>
  <c r="OZ38" i="1"/>
  <c r="S14" i="22"/>
  <c r="PE42" i="1"/>
  <c r="RP42" i="1"/>
  <c r="RQ42" i="1" s="1"/>
  <c r="RR42" i="1" s="1"/>
  <c r="RS42" i="1" s="1"/>
  <c r="RT42" i="1" s="1"/>
  <c r="RU42" i="1" s="1"/>
  <c r="RV42" i="1" s="1"/>
  <c r="RX42" i="1"/>
  <c r="SC42" i="1" s="1"/>
  <c r="PI38" i="1"/>
  <c r="PE38" i="1"/>
  <c r="PD38" i="1"/>
  <c r="PK38" i="1" s="1"/>
  <c r="RP38" i="1"/>
  <c r="RQ38" i="1" s="1"/>
  <c r="RR38" i="1" s="1"/>
  <c r="RS38" i="1" s="1"/>
  <c r="RT38" i="1" s="1"/>
  <c r="RU38" i="1" s="1"/>
  <c r="RV38" i="1" s="1"/>
  <c r="RX38" i="1"/>
  <c r="SC38" i="1" s="1"/>
  <c r="LY43" i="1"/>
  <c r="BG31" i="22" s="1"/>
  <c r="Z10" i="22"/>
  <c r="Z11" i="22"/>
  <c r="ME48" i="1"/>
  <c r="ME31" i="1"/>
  <c r="ME29" i="1"/>
  <c r="ME27" i="1"/>
  <c r="ME28" i="1"/>
  <c r="BF36" i="22"/>
  <c r="LY28" i="1"/>
  <c r="BG16" i="22" s="1"/>
  <c r="MF28" i="1"/>
  <c r="MG28" i="1" s="1"/>
  <c r="LY48" i="1"/>
  <c r="BG36" i="22" s="1"/>
  <c r="MF48" i="1"/>
  <c r="MG48" i="1" s="1"/>
  <c r="LX29" i="1"/>
  <c r="LZ29" i="1" s="1"/>
  <c r="MF29" i="1"/>
  <c r="MG29" i="1" s="1"/>
  <c r="LY27" i="1"/>
  <c r="BG15" i="22" s="1"/>
  <c r="MF27" i="1"/>
  <c r="MG27" i="1" s="1"/>
  <c r="LX31" i="1"/>
  <c r="LZ31" i="1" s="1"/>
  <c r="MF31" i="1"/>
  <c r="MG31" i="1" s="1"/>
  <c r="LX28" i="1"/>
  <c r="LZ28" i="1" s="1"/>
  <c r="MC48" i="1"/>
  <c r="MC31" i="1"/>
  <c r="MC29" i="1"/>
  <c r="MC27" i="1"/>
  <c r="MC28" i="1"/>
  <c r="LW33" i="1"/>
  <c r="LW25" i="1"/>
  <c r="LW22" i="1"/>
  <c r="LW26" i="1"/>
  <c r="LW23" i="1"/>
  <c r="LW24" i="1"/>
  <c r="LV19" i="1"/>
  <c r="LV20" i="1"/>
  <c r="LV21" i="1"/>
  <c r="OU27" i="1"/>
  <c r="OU40" i="1"/>
  <c r="RP40" i="1" s="1"/>
  <c r="RQ40" i="1" s="1"/>
  <c r="RR40" i="1" s="1"/>
  <c r="RS40" i="1" s="1"/>
  <c r="RT40" i="1" s="1"/>
  <c r="RU40" i="1" s="1"/>
  <c r="RV40" i="1" s="1"/>
  <c r="OS28" i="1"/>
  <c r="OT27" i="1"/>
  <c r="OR27" i="1"/>
  <c r="PC21" i="1"/>
  <c r="PI21" i="1" s="1"/>
  <c r="PC22" i="1"/>
  <c r="PI22" i="1" s="1"/>
  <c r="OS40" i="1"/>
  <c r="OT40" i="1"/>
  <c r="KC31" i="1"/>
  <c r="PC23" i="1"/>
  <c r="PI23" i="1" s="1"/>
  <c r="OU28" i="1"/>
  <c r="KG31" i="1"/>
  <c r="SA31" i="1" s="1"/>
  <c r="OT28" i="1"/>
  <c r="QJ27" i="1"/>
  <c r="QM27" i="1"/>
  <c r="QJ40" i="1"/>
  <c r="QM40" i="1"/>
  <c r="QJ28" i="1"/>
  <c r="QM28" i="1"/>
  <c r="QH27" i="1"/>
  <c r="QH40" i="1"/>
  <c r="QH28" i="1"/>
  <c r="PN30" i="1"/>
  <c r="QG30" i="1"/>
  <c r="PN29" i="1"/>
  <c r="QG29" i="1"/>
  <c r="PC19" i="1"/>
  <c r="PC24" i="1"/>
  <c r="PG24" i="1" s="1"/>
  <c r="PC25" i="1"/>
  <c r="PE25" i="1" s="1"/>
  <c r="PC30" i="1"/>
  <c r="PJ30" i="1" s="1"/>
  <c r="PC27" i="1"/>
  <c r="QD27" i="1" s="1"/>
  <c r="PN27" i="1"/>
  <c r="PC40" i="1"/>
  <c r="QD40" i="1" s="1"/>
  <c r="PN40" i="1"/>
  <c r="PC28" i="1"/>
  <c r="QD28" i="1" s="1"/>
  <c r="PN28" i="1"/>
  <c r="PC26" i="1"/>
  <c r="PC20" i="1"/>
  <c r="QD20" i="1" s="1"/>
  <c r="PC29" i="1"/>
  <c r="OS25" i="1"/>
  <c r="KD31" i="1"/>
  <c r="KE31" i="1" s="1"/>
  <c r="OS29" i="1"/>
  <c r="IN23" i="1"/>
  <c r="DS21" i="1"/>
  <c r="MH29" i="1"/>
  <c r="MH48" i="1"/>
  <c r="MA26" i="1"/>
  <c r="QI40" i="1"/>
  <c r="PP29" i="1"/>
  <c r="Q10" i="22"/>
  <c r="MA33" i="1"/>
  <c r="IK28" i="1"/>
  <c r="IK29" i="1"/>
  <c r="QK27" i="1"/>
  <c r="CN31" i="22"/>
  <c r="MA23" i="1"/>
  <c r="MA22" i="1"/>
  <c r="MH27" i="1"/>
  <c r="BK36" i="22"/>
  <c r="HV20" i="1"/>
  <c r="CX28" i="22"/>
  <c r="QK28" i="1"/>
  <c r="EK23" i="1"/>
  <c r="MH28" i="1"/>
  <c r="QI28" i="1"/>
  <c r="CX16" i="22"/>
  <c r="CN19" i="22"/>
  <c r="Q11" i="22"/>
  <c r="CN21" i="22"/>
  <c r="CX31" i="22"/>
  <c r="N25" i="21"/>
  <c r="EM23" i="1"/>
  <c r="O25" i="21"/>
  <c r="MA25" i="1"/>
  <c r="CX36" i="22"/>
  <c r="QN28" i="1"/>
  <c r="QN40" i="1"/>
  <c r="MA24" i="1"/>
  <c r="IK23" i="1"/>
  <c r="CX29" i="22"/>
  <c r="CN32" i="22"/>
  <c r="QN27" i="1"/>
  <c r="CN27" i="22"/>
  <c r="CN29" i="22"/>
  <c r="EM22" i="1"/>
  <c r="CN22" i="22"/>
  <c r="MH31" i="1"/>
  <c r="CN26" i="22"/>
  <c r="IK27" i="1"/>
  <c r="IK24" i="1"/>
  <c r="QI27" i="1"/>
  <c r="CX19" i="22"/>
  <c r="QK40" i="1"/>
  <c r="IK22" i="1"/>
  <c r="RH42" i="1" l="1"/>
  <c r="RM42" i="1" s="1"/>
  <c r="RF42" i="1"/>
  <c r="RK42" i="1" s="1"/>
  <c r="RG42" i="1"/>
  <c r="RL42" i="1" s="1"/>
  <c r="RH38" i="1"/>
  <c r="RM38" i="1" s="1"/>
  <c r="RI42" i="1"/>
  <c r="RN42" i="1" s="1"/>
  <c r="PK42" i="1"/>
  <c r="RJ38" i="1"/>
  <c r="RO38" i="1" s="1"/>
  <c r="RJ42" i="1"/>
  <c r="RO42" i="1" s="1"/>
  <c r="PH42" i="1"/>
  <c r="RF38" i="1"/>
  <c r="RK38" i="1" s="1"/>
  <c r="RI38" i="1"/>
  <c r="RN38" i="1" s="1"/>
  <c r="PE39" i="1"/>
  <c r="PG39" i="1"/>
  <c r="PI39" i="1"/>
  <c r="PJ39" i="1"/>
  <c r="RG38" i="1"/>
  <c r="RL38" i="1" s="1"/>
  <c r="RX39" i="1"/>
  <c r="SC39" i="1" s="1"/>
  <c r="SG39" i="1" s="1"/>
  <c r="CY27" i="22" s="1"/>
  <c r="DA27" i="22" s="1"/>
  <c r="QA42" i="1"/>
  <c r="QB42" i="1"/>
  <c r="PG42" i="1"/>
  <c r="PJ42" i="1"/>
  <c r="PD42" i="1"/>
  <c r="PF42" i="1" s="1"/>
  <c r="QC42" i="1"/>
  <c r="QA39" i="1"/>
  <c r="PH22" i="1"/>
  <c r="PD39" i="1"/>
  <c r="PH39" i="1" s="1"/>
  <c r="QD22" i="1"/>
  <c r="PK21" i="1"/>
  <c r="QD21" i="1"/>
  <c r="PG37" i="1"/>
  <c r="PD37" i="1"/>
  <c r="PH37" i="1"/>
  <c r="QA37" i="1"/>
  <c r="RG39" i="1"/>
  <c r="RL39" i="1" s="1"/>
  <c r="PE37" i="1"/>
  <c r="QB37" i="1"/>
  <c r="PI37" i="1"/>
  <c r="RF39" i="1"/>
  <c r="RK39" i="1" s="1"/>
  <c r="RX37" i="1"/>
  <c r="SC37" i="1" s="1"/>
  <c r="SN37" i="1" s="1"/>
  <c r="RJ37" i="1"/>
  <c r="RO37" i="1" s="1"/>
  <c r="RF37" i="1"/>
  <c r="RK37" i="1" s="1"/>
  <c r="OX39" i="1"/>
  <c r="RG37" i="1"/>
  <c r="RL37" i="1" s="1"/>
  <c r="RJ39" i="1"/>
  <c r="RO39" i="1" s="1"/>
  <c r="RH39" i="1"/>
  <c r="RM39" i="1" s="1"/>
  <c r="OZ39" i="1"/>
  <c r="QS39" i="1" s="1"/>
  <c r="RH37" i="1"/>
  <c r="RM37" i="1" s="1"/>
  <c r="RI39" i="1"/>
  <c r="RN39" i="1" s="1"/>
  <c r="OX37" i="1"/>
  <c r="RI37" i="1"/>
  <c r="RN37" i="1" s="1"/>
  <c r="OY37" i="1"/>
  <c r="IO28" i="1"/>
  <c r="IO24" i="1"/>
  <c r="IO23" i="1"/>
  <c r="IO29" i="1"/>
  <c r="IO22" i="1"/>
  <c r="IO27" i="1"/>
  <c r="HZ20" i="1"/>
  <c r="SJ41" i="1"/>
  <c r="SJ43" i="1"/>
  <c r="PK39" i="1"/>
  <c r="PA38" i="1"/>
  <c r="PZ38" i="1"/>
  <c r="QS38" i="1"/>
  <c r="QS42" i="1"/>
  <c r="PA42" i="1"/>
  <c r="PZ42" i="1"/>
  <c r="SH42" i="1"/>
  <c r="SI42" i="1"/>
  <c r="SG38" i="1"/>
  <c r="CY26" i="22" s="1"/>
  <c r="DA26" i="22" s="1"/>
  <c r="SN38" i="1"/>
  <c r="PH38" i="1"/>
  <c r="PL38" i="1" s="1"/>
  <c r="PF38" i="1"/>
  <c r="PK37" i="1"/>
  <c r="SG42" i="1"/>
  <c r="CY30" i="22" s="1"/>
  <c r="DA30" i="22" s="1"/>
  <c r="SN42" i="1"/>
  <c r="PI42" i="1"/>
  <c r="ME23" i="1"/>
  <c r="ME33" i="1"/>
  <c r="ME24" i="1"/>
  <c r="ME25" i="1"/>
  <c r="BF19" i="22"/>
  <c r="BF17" i="22"/>
  <c r="BF16" i="22"/>
  <c r="LX25" i="1"/>
  <c r="LZ25" i="1" s="1"/>
  <c r="MF25" i="1"/>
  <c r="MG25" i="1" s="1"/>
  <c r="LX33" i="1"/>
  <c r="LZ33" i="1" s="1"/>
  <c r="MF33" i="1"/>
  <c r="MG33" i="1" s="1"/>
  <c r="LY25" i="1"/>
  <c r="BG13" i="22" s="1"/>
  <c r="LY33" i="1"/>
  <c r="BG21" i="22" s="1"/>
  <c r="LY24" i="1"/>
  <c r="BG12" i="22" s="1"/>
  <c r="LY23" i="1"/>
  <c r="BG11" i="22" s="1"/>
  <c r="QP40" i="1"/>
  <c r="QQ40" i="1" s="1"/>
  <c r="QP28" i="1"/>
  <c r="QQ28" i="1" s="1"/>
  <c r="QP27" i="1"/>
  <c r="QQ27" i="1" s="1"/>
  <c r="PO29" i="1"/>
  <c r="PO30" i="1"/>
  <c r="PE23" i="1"/>
  <c r="PG22" i="1"/>
  <c r="PD21" i="1"/>
  <c r="PD22" i="1"/>
  <c r="PE22" i="1"/>
  <c r="PH21" i="1"/>
  <c r="PE21" i="1"/>
  <c r="PJ22" i="1"/>
  <c r="PH23" i="1"/>
  <c r="PK22" i="1"/>
  <c r="QC22" i="1"/>
  <c r="PD23" i="1"/>
  <c r="PG23" i="1"/>
  <c r="PG21" i="1"/>
  <c r="QC21" i="1"/>
  <c r="PJ21" i="1"/>
  <c r="QB21" i="1"/>
  <c r="QA21" i="1"/>
  <c r="QA22" i="1"/>
  <c r="QB22" i="1"/>
  <c r="PK23" i="1"/>
  <c r="PJ23" i="1"/>
  <c r="QA23" i="1"/>
  <c r="QC23" i="1"/>
  <c r="QB23" i="1"/>
  <c r="PT29" i="1"/>
  <c r="QD23" i="1"/>
  <c r="QO40" i="1"/>
  <c r="QO28" i="1"/>
  <c r="QO27" i="1"/>
  <c r="QL40" i="1"/>
  <c r="QL28" i="1"/>
  <c r="QL27" i="1"/>
  <c r="QJ29" i="1"/>
  <c r="QM29" i="1"/>
  <c r="QJ30" i="1"/>
  <c r="QM30" i="1"/>
  <c r="PJ25" i="1"/>
  <c r="PK30" i="1"/>
  <c r="PD30" i="1"/>
  <c r="PG30" i="1"/>
  <c r="QH30" i="1"/>
  <c r="QH29" i="1"/>
  <c r="PG19" i="1"/>
  <c r="PT30" i="1"/>
  <c r="PD24" i="1"/>
  <c r="PK24" i="1" s="1"/>
  <c r="PJ24" i="1"/>
  <c r="PD19" i="1"/>
  <c r="PH19" i="1" s="1"/>
  <c r="PE30" i="1"/>
  <c r="PH30" i="1"/>
  <c r="PH25" i="1"/>
  <c r="PI19" i="1"/>
  <c r="PJ19" i="1"/>
  <c r="PK19" i="1"/>
  <c r="QB24" i="1"/>
  <c r="QB26" i="1"/>
  <c r="QB29" i="1"/>
  <c r="QD29" i="1"/>
  <c r="QB30" i="1"/>
  <c r="QD30" i="1"/>
  <c r="QC25" i="1"/>
  <c r="QD25" i="1"/>
  <c r="PD25" i="1"/>
  <c r="PF25" i="1" s="1"/>
  <c r="QA19" i="1"/>
  <c r="QA25" i="1"/>
  <c r="QC30" i="1"/>
  <c r="QB40" i="1"/>
  <c r="QA30" i="1"/>
  <c r="QB20" i="1"/>
  <c r="QB28" i="1"/>
  <c r="QB27" i="1"/>
  <c r="PK25" i="1"/>
  <c r="QB25" i="1"/>
  <c r="PE19" i="1"/>
  <c r="QB19" i="1"/>
  <c r="PG25" i="1"/>
  <c r="PI24" i="1"/>
  <c r="PE24" i="1"/>
  <c r="PH24" i="1"/>
  <c r="QA24" i="1"/>
  <c r="PI30" i="1"/>
  <c r="PI25" i="1"/>
  <c r="QC20" i="1"/>
  <c r="QC28" i="1"/>
  <c r="QC27" i="1"/>
  <c r="QC40" i="1"/>
  <c r="QA29" i="1"/>
  <c r="QC29" i="1"/>
  <c r="QA26" i="1"/>
  <c r="PI40" i="1"/>
  <c r="QA40" i="1"/>
  <c r="PK20" i="1"/>
  <c r="QA20" i="1"/>
  <c r="PI28" i="1"/>
  <c r="QA28" i="1"/>
  <c r="PI27" i="1"/>
  <c r="QA27" i="1"/>
  <c r="PD28" i="1"/>
  <c r="PD27" i="1"/>
  <c r="PG27" i="1"/>
  <c r="PT28" i="1"/>
  <c r="PT27" i="1"/>
  <c r="PT40" i="1"/>
  <c r="PE40" i="1"/>
  <c r="PD40" i="1"/>
  <c r="PO40" i="1"/>
  <c r="PO28" i="1"/>
  <c r="PO27" i="1"/>
  <c r="PH40" i="1"/>
  <c r="PH27" i="1"/>
  <c r="PJ28" i="1"/>
  <c r="PJ27" i="1"/>
  <c r="PK28" i="1"/>
  <c r="PG28" i="1"/>
  <c r="PH28" i="1"/>
  <c r="PK27" i="1"/>
  <c r="PE28" i="1"/>
  <c r="PG40" i="1"/>
  <c r="PE27" i="1"/>
  <c r="PJ40" i="1"/>
  <c r="PK40" i="1"/>
  <c r="PJ26" i="1"/>
  <c r="PJ29" i="1"/>
  <c r="PK29" i="1"/>
  <c r="PH20" i="1"/>
  <c r="PJ20" i="1"/>
  <c r="PI29" i="1"/>
  <c r="PH29" i="1"/>
  <c r="PI26" i="1"/>
  <c r="PH26" i="1"/>
  <c r="PD26" i="1"/>
  <c r="PK26" i="1" s="1"/>
  <c r="PD20" i="1"/>
  <c r="PI20" i="1"/>
  <c r="PG29" i="1"/>
  <c r="PE29" i="1"/>
  <c r="PG20" i="1"/>
  <c r="PE20" i="1"/>
  <c r="PG26" i="1"/>
  <c r="PE26" i="1"/>
  <c r="PD29" i="1"/>
  <c r="OR29" i="1"/>
  <c r="OT29" i="1"/>
  <c r="KA20" i="1"/>
  <c r="KA21" i="1"/>
  <c r="CL7" i="22"/>
  <c r="RJ40" i="1"/>
  <c r="RO40" i="1" s="1"/>
  <c r="RF40" i="1"/>
  <c r="RK40" i="1" s="1"/>
  <c r="RG40" i="1"/>
  <c r="RL40" i="1" s="1"/>
  <c r="RI40" i="1"/>
  <c r="RN40" i="1" s="1"/>
  <c r="RH40" i="1"/>
  <c r="RM40" i="1" s="1"/>
  <c r="MC25" i="1"/>
  <c r="AC11" i="22"/>
  <c r="AC10" i="22"/>
  <c r="AL10" i="22"/>
  <c r="AE8" i="22"/>
  <c r="AE11" i="22"/>
  <c r="PA40" i="1"/>
  <c r="RX40" i="1"/>
  <c r="SC40" i="1" s="1"/>
  <c r="SN40" i="1" s="1"/>
  <c r="PZ40" i="1"/>
  <c r="QS40" i="1"/>
  <c r="CV15" i="22"/>
  <c r="CW15" i="22" s="1"/>
  <c r="KG38" i="1"/>
  <c r="SA38" i="1" s="1"/>
  <c r="SE38" i="1" s="1"/>
  <c r="CO26" i="22" s="1"/>
  <c r="CS26" i="22" s="1"/>
  <c r="KC38" i="1"/>
  <c r="KD38" i="1"/>
  <c r="KE38" i="1" s="1"/>
  <c r="KG36" i="1"/>
  <c r="SA36" i="1" s="1"/>
  <c r="KB36" i="1"/>
  <c r="KD36" i="1"/>
  <c r="KE36" i="1" s="1"/>
  <c r="KC36" i="1"/>
  <c r="KG35" i="1"/>
  <c r="SA35" i="1" s="1"/>
  <c r="KC35" i="1"/>
  <c r="KB35" i="1"/>
  <c r="KD35" i="1"/>
  <c r="KE35" i="1" s="1"/>
  <c r="KC40" i="1"/>
  <c r="KB40" i="1"/>
  <c r="KG40" i="1" s="1"/>
  <c r="SA40" i="1" s="1"/>
  <c r="KD40" i="1"/>
  <c r="KE40" i="1" s="1"/>
  <c r="KG37" i="1"/>
  <c r="SA37" i="1" s="1"/>
  <c r="KB37" i="1"/>
  <c r="KC37" i="1"/>
  <c r="KD37" i="1"/>
  <c r="KE37" i="1" s="1"/>
  <c r="KG39" i="1"/>
  <c r="SA39" i="1" s="1"/>
  <c r="KB39" i="1"/>
  <c r="KC39" i="1"/>
  <c r="KD39" i="1"/>
  <c r="KE39" i="1" s="1"/>
  <c r="OR25" i="1"/>
  <c r="OT25" i="1"/>
  <c r="OS30" i="1"/>
  <c r="OR30" i="1"/>
  <c r="OT30" i="1"/>
  <c r="OU30" i="1"/>
  <c r="OT24" i="1"/>
  <c r="OX29" i="1"/>
  <c r="OU29" i="1"/>
  <c r="OU24" i="1"/>
  <c r="RP24" i="1" s="1"/>
  <c r="RQ24" i="1" s="1"/>
  <c r="RR24" i="1" s="1"/>
  <c r="RS24" i="1" s="1"/>
  <c r="RT24" i="1" s="1"/>
  <c r="RU24" i="1" s="1"/>
  <c r="RV24" i="1" s="1"/>
  <c r="OS24" i="1"/>
  <c r="OR24" i="1"/>
  <c r="OS22" i="1"/>
  <c r="OT23" i="1"/>
  <c r="RX28" i="1"/>
  <c r="SC28" i="1" s="1"/>
  <c r="RP28" i="1"/>
  <c r="RQ28" i="1" s="1"/>
  <c r="RR28" i="1" s="1"/>
  <c r="RS28" i="1" s="1"/>
  <c r="RT28" i="1" s="1"/>
  <c r="RU28" i="1" s="1"/>
  <c r="RV28" i="1" s="1"/>
  <c r="RF27" i="1"/>
  <c r="RK27" i="1" s="1"/>
  <c r="RI27" i="1"/>
  <c r="RN27" i="1" s="1"/>
  <c r="RH27" i="1"/>
  <c r="RM27" i="1" s="1"/>
  <c r="RG27" i="1"/>
  <c r="RL27" i="1" s="1"/>
  <c r="RJ27" i="1"/>
  <c r="RO27" i="1" s="1"/>
  <c r="OZ27" i="1"/>
  <c r="RF28" i="1"/>
  <c r="RK28" i="1" s="1"/>
  <c r="RH28" i="1"/>
  <c r="RM28" i="1" s="1"/>
  <c r="RG28" i="1"/>
  <c r="RL28" i="1" s="1"/>
  <c r="OY28" i="1"/>
  <c r="RI28" i="1"/>
  <c r="RN28" i="1" s="1"/>
  <c r="OZ28" i="1"/>
  <c r="RJ28" i="1"/>
  <c r="RO28" i="1" s="1"/>
  <c r="RP27" i="1"/>
  <c r="RQ27" i="1" s="1"/>
  <c r="RR27" i="1" s="1"/>
  <c r="RS27" i="1" s="1"/>
  <c r="RT27" i="1" s="1"/>
  <c r="RU27" i="1" s="1"/>
  <c r="RV27" i="1" s="1"/>
  <c r="RX27" i="1"/>
  <c r="SC27" i="1" s="1"/>
  <c r="OR26" i="1"/>
  <c r="OS26" i="1"/>
  <c r="OT26" i="1"/>
  <c r="OU26" i="1"/>
  <c r="SE31" i="1"/>
  <c r="CO19" i="22" s="1"/>
  <c r="CU12" i="22"/>
  <c r="CV12" i="22" s="1"/>
  <c r="CW12" i="22" s="1"/>
  <c r="SE33" i="1"/>
  <c r="CO21" i="22" s="1"/>
  <c r="CS21" i="22" s="1"/>
  <c r="CU13" i="22"/>
  <c r="CV13" i="22" s="1"/>
  <c r="CW13" i="22" s="1"/>
  <c r="SM25" i="1"/>
  <c r="MB28" i="1"/>
  <c r="MD28" i="1"/>
  <c r="MB31" i="1"/>
  <c r="MD31" i="1"/>
  <c r="MB48" i="1"/>
  <c r="MD48" i="1"/>
  <c r="MB29" i="1"/>
  <c r="MD29" i="1"/>
  <c r="OR23" i="1"/>
  <c r="P7" i="22"/>
  <c r="OS23" i="1"/>
  <c r="OR22" i="1"/>
  <c r="OT22" i="1"/>
  <c r="SM24" i="1"/>
  <c r="LU19" i="1"/>
  <c r="LU20" i="1"/>
  <c r="R11" i="22"/>
  <c r="R10" i="22"/>
  <c r="SL33" i="1"/>
  <c r="DS20" i="1"/>
  <c r="BK19" i="22"/>
  <c r="DB26" i="22"/>
  <c r="CN24" i="22"/>
  <c r="BK17" i="22"/>
  <c r="CX15" i="22"/>
  <c r="IP22" i="1"/>
  <c r="QK30" i="1"/>
  <c r="CX13" i="22"/>
  <c r="QR27" i="1"/>
  <c r="DU23" i="1"/>
  <c r="BK16" i="22"/>
  <c r="CN33" i="22"/>
  <c r="CN23" i="22"/>
  <c r="QN29" i="1"/>
  <c r="QR40" i="1"/>
  <c r="IA23" i="1"/>
  <c r="PU40" i="1"/>
  <c r="CN16" i="22"/>
  <c r="PU28" i="1"/>
  <c r="PU29" i="1"/>
  <c r="CN34" i="22"/>
  <c r="CN14" i="22"/>
  <c r="QN30" i="1"/>
  <c r="MH25" i="1"/>
  <c r="CN17" i="22"/>
  <c r="MH33" i="1"/>
  <c r="CN12" i="22"/>
  <c r="PP30" i="1"/>
  <c r="PP27" i="1"/>
  <c r="CN30" i="22"/>
  <c r="CN18" i="22"/>
  <c r="QK29" i="1"/>
  <c r="DB30" i="22"/>
  <c r="CN35" i="22"/>
  <c r="DU19" i="1"/>
  <c r="CN15" i="22"/>
  <c r="PP40" i="1"/>
  <c r="PU30" i="1"/>
  <c r="PU27" i="1"/>
  <c r="CN13" i="22"/>
  <c r="IA20" i="1"/>
  <c r="CN28" i="22"/>
  <c r="DB27" i="22"/>
  <c r="CN36" i="22"/>
  <c r="Q7" i="22"/>
  <c r="QI29" i="1"/>
  <c r="IP24" i="1"/>
  <c r="PP28" i="1"/>
  <c r="QI30" i="1"/>
  <c r="DU22" i="1"/>
  <c r="QR28" i="1"/>
  <c r="CN20" i="22"/>
  <c r="SN39" i="1" l="1"/>
  <c r="PL42" i="1"/>
  <c r="PM42" i="1" s="1"/>
  <c r="PF37" i="1"/>
  <c r="QE42" i="1"/>
  <c r="QF42" i="1" s="1"/>
  <c r="PF39" i="1"/>
  <c r="SG37" i="1"/>
  <c r="CY25" i="22" s="1"/>
  <c r="DA25" i="22" s="1"/>
  <c r="PL39" i="1"/>
  <c r="PL37" i="1"/>
  <c r="PZ39" i="1"/>
  <c r="PZ37" i="1"/>
  <c r="QS37" i="1"/>
  <c r="PA39" i="1"/>
  <c r="PA37" i="1"/>
  <c r="AQ10" i="22"/>
  <c r="QC39" i="1"/>
  <c r="QD39" i="1"/>
  <c r="QD37" i="1"/>
  <c r="QC37" i="1"/>
  <c r="QC38" i="1"/>
  <c r="QD38" i="1"/>
  <c r="PM38" i="1"/>
  <c r="S10" i="22"/>
  <c r="S11" i="22"/>
  <c r="PF23" i="1"/>
  <c r="LW20" i="1"/>
  <c r="LW19" i="1"/>
  <c r="QP30" i="1"/>
  <c r="QQ30" i="1" s="1"/>
  <c r="QP29" i="1"/>
  <c r="QQ29" i="1" s="1"/>
  <c r="PW30" i="1"/>
  <c r="PX30" i="1" s="1"/>
  <c r="PW27" i="1"/>
  <c r="PX27" i="1" s="1"/>
  <c r="PW29" i="1"/>
  <c r="PX29" i="1" s="1"/>
  <c r="PW40" i="1"/>
  <c r="PX40" i="1" s="1"/>
  <c r="PW28" i="1"/>
  <c r="PX28" i="1" s="1"/>
  <c r="AI11" i="22"/>
  <c r="PF22" i="1"/>
  <c r="PF21" i="1"/>
  <c r="PL21" i="1"/>
  <c r="PL22" i="1"/>
  <c r="PL23" i="1"/>
  <c r="QE22" i="1"/>
  <c r="QE21" i="1"/>
  <c r="PL30" i="1"/>
  <c r="QE23" i="1"/>
  <c r="PV29" i="1"/>
  <c r="PF30" i="1"/>
  <c r="PF24" i="1"/>
  <c r="QC24" i="1" s="1"/>
  <c r="PF19" i="1"/>
  <c r="QO30" i="1"/>
  <c r="QO29" i="1"/>
  <c r="QL29" i="1"/>
  <c r="QL30" i="1"/>
  <c r="PL19" i="1"/>
  <c r="PV30" i="1"/>
  <c r="PL24" i="1"/>
  <c r="PL25" i="1"/>
  <c r="RI29" i="1"/>
  <c r="RN29" i="1" s="1"/>
  <c r="RH29" i="1"/>
  <c r="RM29" i="1" s="1"/>
  <c r="QE27" i="1"/>
  <c r="QE20" i="1"/>
  <c r="QE30" i="1"/>
  <c r="QE25" i="1"/>
  <c r="PF28" i="1"/>
  <c r="QE28" i="1"/>
  <c r="QE40" i="1"/>
  <c r="QF40" i="1" s="1"/>
  <c r="QE29" i="1"/>
  <c r="PF27" i="1"/>
  <c r="RG29" i="1"/>
  <c r="RL29" i="1" s="1"/>
  <c r="PF40" i="1"/>
  <c r="PV27" i="1"/>
  <c r="PV40" i="1"/>
  <c r="PV28" i="1"/>
  <c r="RJ29" i="1"/>
  <c r="RO29" i="1" s="1"/>
  <c r="PL40" i="1"/>
  <c r="PM40" i="1" s="1"/>
  <c r="RF29" i="1"/>
  <c r="RK29" i="1" s="1"/>
  <c r="PL28" i="1"/>
  <c r="PL27" i="1"/>
  <c r="PL29" i="1"/>
  <c r="PL20" i="1"/>
  <c r="PL26" i="1"/>
  <c r="PF20" i="1"/>
  <c r="PF26" i="1"/>
  <c r="QD26" i="1" s="1"/>
  <c r="PF29" i="1"/>
  <c r="OU25" i="1"/>
  <c r="RX25" i="1" s="1"/>
  <c r="SC25" i="1" s="1"/>
  <c r="SG25" i="1" s="1"/>
  <c r="CY13" i="22" s="1"/>
  <c r="DA13" i="22" s="1"/>
  <c r="CS19" i="22"/>
  <c r="OW26" i="1"/>
  <c r="OX26" i="1"/>
  <c r="OZ24" i="1"/>
  <c r="OV24" i="1"/>
  <c r="OV25" i="1"/>
  <c r="MC33" i="1"/>
  <c r="SG40" i="1"/>
  <c r="CY28" i="22" s="1"/>
  <c r="DA28" i="22" s="1"/>
  <c r="SI38" i="1"/>
  <c r="RF25" i="1"/>
  <c r="RK25" i="1" s="1"/>
  <c r="SL38" i="1"/>
  <c r="SH38" i="1"/>
  <c r="AN10" i="22"/>
  <c r="AP10" i="22" s="1"/>
  <c r="AJ11" i="22"/>
  <c r="AJ8" i="22"/>
  <c r="SE39" i="1"/>
  <c r="CO27" i="22" s="1"/>
  <c r="CS27" i="22" s="1"/>
  <c r="SL39" i="1"/>
  <c r="SH39" i="1"/>
  <c r="SI39" i="1"/>
  <c r="SE37" i="1"/>
  <c r="CO25" i="22" s="1"/>
  <c r="CS25" i="22" s="1"/>
  <c r="SL37" i="1"/>
  <c r="SH37" i="1"/>
  <c r="SI37" i="1"/>
  <c r="SE40" i="1"/>
  <c r="CO28" i="22" s="1"/>
  <c r="CS28" i="22" s="1"/>
  <c r="SL40" i="1"/>
  <c r="SH40" i="1"/>
  <c r="SI40" i="1"/>
  <c r="SE35" i="1"/>
  <c r="CO23" i="22" s="1"/>
  <c r="CS23" i="22" s="1"/>
  <c r="SL35" i="1"/>
  <c r="SH35" i="1"/>
  <c r="SI35" i="1"/>
  <c r="SE36" i="1"/>
  <c r="CO24" i="22" s="1"/>
  <c r="CS24" i="22" s="1"/>
  <c r="SL36" i="1"/>
  <c r="SH36" i="1"/>
  <c r="SI36" i="1"/>
  <c r="AG8" i="22"/>
  <c r="AI8" i="22" s="1"/>
  <c r="AG11" i="22"/>
  <c r="RG25" i="1"/>
  <c r="RL25" i="1" s="1"/>
  <c r="OX25" i="1"/>
  <c r="RH30" i="1"/>
  <c r="RM30" i="1" s="1"/>
  <c r="RG30" i="1"/>
  <c r="RL30" i="1" s="1"/>
  <c r="RI30" i="1"/>
  <c r="RN30" i="1" s="1"/>
  <c r="RJ30" i="1"/>
  <c r="RO30" i="1" s="1"/>
  <c r="OV30" i="1"/>
  <c r="OZ30" i="1"/>
  <c r="RF30" i="1"/>
  <c r="RK30" i="1" s="1"/>
  <c r="QS28" i="1"/>
  <c r="RX30" i="1"/>
  <c r="SC30" i="1" s="1"/>
  <c r="RP30" i="1"/>
  <c r="RQ30" i="1" s="1"/>
  <c r="RR30" i="1" s="1"/>
  <c r="RS30" i="1" s="1"/>
  <c r="RT30" i="1" s="1"/>
  <c r="RU30" i="1" s="1"/>
  <c r="RV30" i="1" s="1"/>
  <c r="RJ24" i="1"/>
  <c r="RO24" i="1" s="1"/>
  <c r="PZ27" i="1"/>
  <c r="QS27" i="1"/>
  <c r="PZ28" i="1"/>
  <c r="RP29" i="1"/>
  <c r="RQ29" i="1" s="1"/>
  <c r="RR29" i="1" s="1"/>
  <c r="RS29" i="1" s="1"/>
  <c r="RT29" i="1" s="1"/>
  <c r="RU29" i="1" s="1"/>
  <c r="RV29" i="1" s="1"/>
  <c r="RX29" i="1"/>
  <c r="SC29" i="1" s="1"/>
  <c r="SH29" i="1" s="1"/>
  <c r="OY29" i="1"/>
  <c r="OZ29" i="1" s="1"/>
  <c r="RF24" i="1"/>
  <c r="RK24" i="1" s="1"/>
  <c r="RI24" i="1"/>
  <c r="RN24" i="1" s="1"/>
  <c r="RH24" i="1"/>
  <c r="RM24" i="1" s="1"/>
  <c r="RG24" i="1"/>
  <c r="RL24" i="1" s="1"/>
  <c r="OW24" i="1"/>
  <c r="RP26" i="1"/>
  <c r="RQ26" i="1" s="1"/>
  <c r="RR26" i="1" s="1"/>
  <c r="RS26" i="1" s="1"/>
  <c r="RT26" i="1" s="1"/>
  <c r="RU26" i="1" s="1"/>
  <c r="RV26" i="1" s="1"/>
  <c r="RX26" i="1"/>
  <c r="SC26" i="1" s="1"/>
  <c r="SG27" i="1"/>
  <c r="CY15" i="22" s="1"/>
  <c r="DA15" i="22" s="1"/>
  <c r="SN27" i="1"/>
  <c r="PA28" i="1"/>
  <c r="PA27" i="1"/>
  <c r="SG28" i="1"/>
  <c r="CY16" i="22" s="1"/>
  <c r="DA16" i="22" s="1"/>
  <c r="SN28" i="1"/>
  <c r="RG26" i="1"/>
  <c r="RL26" i="1" s="1"/>
  <c r="RI26" i="1"/>
  <c r="RN26" i="1" s="1"/>
  <c r="RF26" i="1"/>
  <c r="RK26" i="1" s="1"/>
  <c r="RH26" i="1"/>
  <c r="RM26" i="1" s="1"/>
  <c r="RJ26" i="1"/>
  <c r="RO26" i="1" s="1"/>
  <c r="OZ26" i="1"/>
  <c r="OV23" i="1"/>
  <c r="OV22" i="1"/>
  <c r="OW22" i="1" s="1"/>
  <c r="OX22" i="1" s="1"/>
  <c r="DX23" i="1"/>
  <c r="DX22" i="1"/>
  <c r="DX19" i="1"/>
  <c r="R7" i="22"/>
  <c r="RH25" i="1"/>
  <c r="RX24" i="1"/>
  <c r="SC24" i="1" s="1"/>
  <c r="KC23" i="1"/>
  <c r="KB23" i="1"/>
  <c r="KD23" i="1"/>
  <c r="KE23" i="1" s="1"/>
  <c r="SL31" i="1"/>
  <c r="SI31" i="1"/>
  <c r="SH31" i="1"/>
  <c r="KD29" i="1"/>
  <c r="KE29" i="1" s="1"/>
  <c r="KB29" i="1"/>
  <c r="KC29" i="1"/>
  <c r="KC34" i="1"/>
  <c r="KG34" i="1"/>
  <c r="SA34" i="1" s="1"/>
  <c r="KB34" i="1"/>
  <c r="SM26" i="1"/>
  <c r="CU14" i="22"/>
  <c r="CV14" i="22" s="1"/>
  <c r="CW14" i="22" s="1"/>
  <c r="OU23" i="1"/>
  <c r="KG28" i="1"/>
  <c r="SA28" i="1" s="1"/>
  <c r="SE28" i="1" s="1"/>
  <c r="KD28" i="1"/>
  <c r="KE28" i="1" s="1"/>
  <c r="KC28" i="1"/>
  <c r="KB28" i="1"/>
  <c r="KG30" i="1"/>
  <c r="SA30" i="1" s="1"/>
  <c r="SE30" i="1" s="1"/>
  <c r="KB30" i="1"/>
  <c r="KC30" i="1"/>
  <c r="KD30" i="1"/>
  <c r="KE30" i="1" s="1"/>
  <c r="KG32" i="1"/>
  <c r="SA32" i="1" s="1"/>
  <c r="SE32" i="1" s="1"/>
  <c r="KC32" i="1"/>
  <c r="KB32" i="1"/>
  <c r="KD32" i="1"/>
  <c r="KE32" i="1" s="1"/>
  <c r="KC24" i="1"/>
  <c r="KB24" i="1"/>
  <c r="KG24" i="1" s="1"/>
  <c r="SA24" i="1" s="1"/>
  <c r="SE24" i="1" s="1"/>
  <c r="KD24" i="1"/>
  <c r="KE24" i="1" s="1"/>
  <c r="KC25" i="1"/>
  <c r="KD25" i="1"/>
  <c r="KE25" i="1" s="1"/>
  <c r="KB25" i="1"/>
  <c r="KG27" i="1"/>
  <c r="SA27" i="1" s="1"/>
  <c r="SE27" i="1" s="1"/>
  <c r="KD27" i="1"/>
  <c r="KE27" i="1" s="1"/>
  <c r="KB27" i="1"/>
  <c r="KC27" i="1"/>
  <c r="SL29" i="1"/>
  <c r="CO17" i="22"/>
  <c r="CS17" i="22" s="1"/>
  <c r="SM33" i="1"/>
  <c r="CU21" i="22"/>
  <c r="CV21" i="22" s="1"/>
  <c r="CW21" i="22" s="1"/>
  <c r="SH33" i="1"/>
  <c r="SI33" i="1"/>
  <c r="RF23" i="1"/>
  <c r="RK23" i="1" s="1"/>
  <c r="OX23" i="1"/>
  <c r="RH23" i="1"/>
  <c r="RM23" i="1" s="1"/>
  <c r="KG26" i="1"/>
  <c r="SA26" i="1" s="1"/>
  <c r="SE26" i="1" s="1"/>
  <c r="KD26" i="1"/>
  <c r="KE26" i="1" s="1"/>
  <c r="KB26" i="1"/>
  <c r="KC26" i="1"/>
  <c r="DV23" i="1"/>
  <c r="DV22" i="1"/>
  <c r="DV19" i="1"/>
  <c r="P9" i="22"/>
  <c r="P8" i="22"/>
  <c r="SM23" i="1"/>
  <c r="CU11" i="22"/>
  <c r="CV11" i="22" s="1"/>
  <c r="CW11" i="22" s="1"/>
  <c r="SM22" i="1"/>
  <c r="CU10" i="22"/>
  <c r="CV10" i="22" s="1"/>
  <c r="CW10" i="22" s="1"/>
  <c r="LU21" i="1"/>
  <c r="MJ20" i="1"/>
  <c r="SB20" i="1" s="1"/>
  <c r="SF20" i="1" s="1"/>
  <c r="MJ19" i="1"/>
  <c r="SB19" i="1" s="1"/>
  <c r="SF19" i="1" s="1"/>
  <c r="MJ21" i="1"/>
  <c r="SB21" i="1" s="1"/>
  <c r="SF21" i="1" s="1"/>
  <c r="K13" i="4"/>
  <c r="KG48" i="1"/>
  <c r="SA48" i="1" s="1"/>
  <c r="KB48" i="1"/>
  <c r="KC48" i="1"/>
  <c r="KD48" i="1"/>
  <c r="KE48" i="1" s="1"/>
  <c r="RF22" i="1"/>
  <c r="RG22" i="1" s="1"/>
  <c r="RL22" i="1" s="1"/>
  <c r="OT19" i="1"/>
  <c r="OR19" i="1"/>
  <c r="OS19" i="1"/>
  <c r="KB19" i="1"/>
  <c r="KD19" i="1"/>
  <c r="KE19" i="1" s="1"/>
  <c r="ET21" i="1"/>
  <c r="EU21" i="1" s="1"/>
  <c r="EV21" i="1" s="1"/>
  <c r="EW21" i="1" s="1"/>
  <c r="EX21" i="1" s="1"/>
  <c r="EY21" i="1" s="1"/>
  <c r="TF41" i="1"/>
  <c r="SO41" i="1"/>
  <c r="SP41" i="1" s="1"/>
  <c r="SQ41" i="1" s="1"/>
  <c r="SR41" i="1" s="1"/>
  <c r="SS41" i="1" s="1"/>
  <c r="ST41" i="1" s="1"/>
  <c r="TD41" i="1" s="1"/>
  <c r="TF43" i="1"/>
  <c r="SO43" i="1"/>
  <c r="SP43" i="1" s="1"/>
  <c r="SQ43" i="1" s="1"/>
  <c r="SR43" i="1" s="1"/>
  <c r="SS43" i="1" s="1"/>
  <c r="ST43" i="1" s="1"/>
  <c r="TD43" i="1" s="1"/>
  <c r="TF44" i="1"/>
  <c r="SO44" i="1"/>
  <c r="SP44" i="1" s="1"/>
  <c r="SQ44" i="1" s="1"/>
  <c r="SR44" i="1" s="1"/>
  <c r="SS44" i="1" s="1"/>
  <c r="ST44" i="1" s="1"/>
  <c r="TD44" i="1" s="1"/>
  <c r="OU22" i="1"/>
  <c r="KB22" i="1"/>
  <c r="KD20" i="1"/>
  <c r="KE20" i="1" s="1"/>
  <c r="KD21" i="1"/>
  <c r="KE21" i="1" s="1"/>
  <c r="ET20" i="1"/>
  <c r="EU20" i="1" s="1"/>
  <c r="SJ45" i="1"/>
  <c r="SJ46" i="1"/>
  <c r="SJ42" i="1"/>
  <c r="SJ47" i="1"/>
  <c r="KD22" i="1"/>
  <c r="KE22" i="1" s="1"/>
  <c r="KB21" i="1"/>
  <c r="KC22" i="1"/>
  <c r="KB20" i="1"/>
  <c r="OT21" i="1"/>
  <c r="OR21" i="1"/>
  <c r="OS21" i="1"/>
  <c r="OS20" i="1"/>
  <c r="OT20" i="1"/>
  <c r="OR20" i="1"/>
  <c r="KC20" i="1"/>
  <c r="KC21" i="1"/>
  <c r="KC19" i="1"/>
  <c r="EO19" i="1"/>
  <c r="ET23" i="1"/>
  <c r="EU23" i="1" s="1"/>
  <c r="FC23" i="1" s="1"/>
  <c r="ET22" i="1"/>
  <c r="EU22" i="1" s="1"/>
  <c r="KE10" i="1"/>
  <c r="HT29" i="1"/>
  <c r="DY22" i="1"/>
  <c r="DY23" i="1"/>
  <c r="PY30" i="1"/>
  <c r="CT19" i="22"/>
  <c r="MA19" i="1"/>
  <c r="DU20" i="1"/>
  <c r="CX12" i="22"/>
  <c r="CT26" i="22"/>
  <c r="Q9" i="22"/>
  <c r="PY28" i="1"/>
  <c r="DW22" i="1"/>
  <c r="CT21" i="22"/>
  <c r="PY40" i="1"/>
  <c r="DY19" i="1"/>
  <c r="Q8" i="22"/>
  <c r="PY29" i="1"/>
  <c r="QR30" i="1"/>
  <c r="CX21" i="22"/>
  <c r="DU21" i="1"/>
  <c r="DW23" i="1"/>
  <c r="QR29" i="1"/>
  <c r="MA20" i="1"/>
  <c r="DW19" i="1"/>
  <c r="DB25" i="22"/>
  <c r="PY27" i="1"/>
  <c r="PM39" i="1" l="1"/>
  <c r="QD19" i="1"/>
  <c r="QC19" i="1"/>
  <c r="PM37" i="1"/>
  <c r="AD8" i="22"/>
  <c r="AF8" i="22"/>
  <c r="AD11" i="22"/>
  <c r="AF11" i="22"/>
  <c r="AK10" i="22"/>
  <c r="AM10" i="22"/>
  <c r="HU29" i="1"/>
  <c r="QE37" i="1"/>
  <c r="QF37" i="1" s="1"/>
  <c r="QE38" i="1"/>
  <c r="QF38" i="1" s="1"/>
  <c r="QE39" i="1"/>
  <c r="QF39" i="1" s="1"/>
  <c r="QF28" i="1"/>
  <c r="S7" i="22"/>
  <c r="LW21" i="1"/>
  <c r="QD24" i="1"/>
  <c r="QE24" i="1" s="1"/>
  <c r="QF27" i="1"/>
  <c r="SN25" i="1"/>
  <c r="QC26" i="1"/>
  <c r="QE26" i="1" s="1"/>
  <c r="PM28" i="1"/>
  <c r="PM27" i="1"/>
  <c r="OY25" i="1"/>
  <c r="OZ25" i="1" s="1"/>
  <c r="KG25" i="1"/>
  <c r="SA25" i="1" s="1"/>
  <c r="SE25" i="1" s="1"/>
  <c r="CO13" i="22" s="1"/>
  <c r="CS13" i="22" s="1"/>
  <c r="PA29" i="1"/>
  <c r="PM29" i="1" s="1"/>
  <c r="V10" i="22"/>
  <c r="V11" i="22"/>
  <c r="V7" i="22"/>
  <c r="SJ35" i="1"/>
  <c r="TF35" i="1" s="1"/>
  <c r="SJ40" i="1"/>
  <c r="TF40" i="1" s="1"/>
  <c r="SJ38" i="1"/>
  <c r="TF38" i="1" s="1"/>
  <c r="SJ36" i="1"/>
  <c r="TF36" i="1" s="1"/>
  <c r="SJ37" i="1"/>
  <c r="SJ39" i="1"/>
  <c r="SI29" i="1"/>
  <c r="SJ29" i="1" s="1"/>
  <c r="SO29" i="1" s="1"/>
  <c r="SP29" i="1" s="1"/>
  <c r="SQ29" i="1" s="1"/>
  <c r="SR29" i="1" s="1"/>
  <c r="SS29" i="1" s="1"/>
  <c r="ST29" i="1" s="1"/>
  <c r="TD29" i="1" s="1"/>
  <c r="SG30" i="1"/>
  <c r="CY18" i="22" s="1"/>
  <c r="DA18" i="22" s="1"/>
  <c r="SN30" i="1"/>
  <c r="QS30" i="1"/>
  <c r="PZ30" i="1"/>
  <c r="QF30" i="1" s="1"/>
  <c r="PA30" i="1"/>
  <c r="PM30" i="1" s="1"/>
  <c r="QS29" i="1"/>
  <c r="PZ26" i="1"/>
  <c r="QS26" i="1"/>
  <c r="PZ29" i="1"/>
  <c r="QF29" i="1" s="1"/>
  <c r="OX24" i="1"/>
  <c r="PZ24" i="1" s="1"/>
  <c r="OW23" i="1"/>
  <c r="SG29" i="1"/>
  <c r="CY17" i="22" s="1"/>
  <c r="DA17" i="22" s="1"/>
  <c r="SN29" i="1"/>
  <c r="SG26" i="1"/>
  <c r="CY14" i="22" s="1"/>
  <c r="DA14" i="22" s="1"/>
  <c r="SN26" i="1"/>
  <c r="PA26" i="1"/>
  <c r="PM26" i="1" s="1"/>
  <c r="RG23" i="1"/>
  <c r="RL23" i="1" s="1"/>
  <c r="RJ23" i="1"/>
  <c r="RO23" i="1" s="1"/>
  <c r="SN24" i="1"/>
  <c r="SG24" i="1"/>
  <c r="CY12" i="22" s="1"/>
  <c r="DA12" i="22" s="1"/>
  <c r="SL34" i="1"/>
  <c r="SE34" i="1"/>
  <c r="CO22" i="22" s="1"/>
  <c r="CS22" i="22" s="1"/>
  <c r="SE48" i="1"/>
  <c r="CO36" i="22" s="1"/>
  <c r="CS36" i="22" s="1"/>
  <c r="KG23" i="1"/>
  <c r="SA23" i="1" s="1"/>
  <c r="BI19" i="22"/>
  <c r="BJ19" i="22" s="1"/>
  <c r="BI17" i="22"/>
  <c r="BJ17" i="22" s="1"/>
  <c r="BI36" i="22"/>
  <c r="BJ36" i="22" s="1"/>
  <c r="BI16" i="22"/>
  <c r="BJ16" i="22" s="1"/>
  <c r="OV21" i="1"/>
  <c r="OV20" i="1"/>
  <c r="DX20" i="1"/>
  <c r="DX21" i="1"/>
  <c r="SI34" i="1"/>
  <c r="R8" i="22"/>
  <c r="R9" i="22"/>
  <c r="RM25" i="1"/>
  <c r="RI25" i="1"/>
  <c r="RN25" i="1" s="1"/>
  <c r="SH34" i="1"/>
  <c r="SJ31" i="1"/>
  <c r="SJ33" i="1"/>
  <c r="SL27" i="1"/>
  <c r="CO15" i="22"/>
  <c r="CS15" i="22" s="1"/>
  <c r="SH27" i="1"/>
  <c r="SI27" i="1"/>
  <c r="SL32" i="1"/>
  <c r="CO20" i="22"/>
  <c r="CS20" i="22" s="1"/>
  <c r="SH32" i="1"/>
  <c r="SI32" i="1"/>
  <c r="SL30" i="1"/>
  <c r="CO18" i="22"/>
  <c r="CS18" i="22" s="1"/>
  <c r="SH30" i="1"/>
  <c r="SI30" i="1"/>
  <c r="RX23" i="1"/>
  <c r="SC23" i="1" s="1"/>
  <c r="SG23" i="1" s="1"/>
  <c r="SL28" i="1"/>
  <c r="CO16" i="22"/>
  <c r="CS16" i="22" s="1"/>
  <c r="SH28" i="1"/>
  <c r="SI28" i="1"/>
  <c r="CO14" i="22"/>
  <c r="CS14" i="22" s="1"/>
  <c r="SL26" i="1"/>
  <c r="SH26" i="1"/>
  <c r="SI26" i="1"/>
  <c r="SL24" i="1"/>
  <c r="CO12" i="22"/>
  <c r="CS12" i="22" s="1"/>
  <c r="SH24" i="1"/>
  <c r="SI24" i="1"/>
  <c r="DV21" i="1"/>
  <c r="DV20" i="1"/>
  <c r="SM21" i="1"/>
  <c r="CU9" i="22"/>
  <c r="CV9" i="22" s="1"/>
  <c r="CW9" i="22" s="1"/>
  <c r="SM20" i="1"/>
  <c r="CU8" i="22"/>
  <c r="CV8" i="22" s="1"/>
  <c r="CW8" i="22" s="1"/>
  <c r="SM19" i="1"/>
  <c r="CU7" i="22"/>
  <c r="CV7" i="22" s="1"/>
  <c r="OY22" i="1"/>
  <c r="OV19" i="1"/>
  <c r="RH22" i="1"/>
  <c r="RM22" i="1" s="1"/>
  <c r="RK22" i="1"/>
  <c r="KG20" i="1"/>
  <c r="SA20" i="1" s="1"/>
  <c r="SE20" i="1" s="1"/>
  <c r="K14" i="4"/>
  <c r="SL48" i="1"/>
  <c r="SI48" i="1"/>
  <c r="SH48" i="1"/>
  <c r="RF20" i="1"/>
  <c r="RF21" i="1"/>
  <c r="RG21" i="1" s="1"/>
  <c r="RL21" i="1" s="1"/>
  <c r="RF19" i="1"/>
  <c r="KG19" i="1"/>
  <c r="FC21" i="1"/>
  <c r="RZ21" i="1" s="1"/>
  <c r="SD21" i="1" s="1"/>
  <c r="TF45" i="1"/>
  <c r="SO45" i="1"/>
  <c r="SP45" i="1" s="1"/>
  <c r="SQ45" i="1" s="1"/>
  <c r="SR45" i="1" s="1"/>
  <c r="SS45" i="1" s="1"/>
  <c r="ST45" i="1" s="1"/>
  <c r="TD45" i="1" s="1"/>
  <c r="TF47" i="1"/>
  <c r="SO47" i="1"/>
  <c r="SP47" i="1" s="1"/>
  <c r="SQ47" i="1" s="1"/>
  <c r="SR47" i="1" s="1"/>
  <c r="SS47" i="1" s="1"/>
  <c r="ST47" i="1" s="1"/>
  <c r="TD47" i="1" s="1"/>
  <c r="TF46" i="1"/>
  <c r="SO46" i="1"/>
  <c r="SP46" i="1" s="1"/>
  <c r="SQ46" i="1" s="1"/>
  <c r="SR46" i="1" s="1"/>
  <c r="SS46" i="1" s="1"/>
  <c r="ST46" i="1" s="1"/>
  <c r="TD46" i="1" s="1"/>
  <c r="TF42" i="1"/>
  <c r="SO42" i="1"/>
  <c r="SP42" i="1" s="1"/>
  <c r="SQ42" i="1" s="1"/>
  <c r="SR42" i="1" s="1"/>
  <c r="SS42" i="1" s="1"/>
  <c r="ST42" i="1" s="1"/>
  <c r="TD42" i="1" s="1"/>
  <c r="OU20" i="1"/>
  <c r="OU21" i="1"/>
  <c r="KG21" i="1"/>
  <c r="SA21" i="1" s="1"/>
  <c r="SE21" i="1" s="1"/>
  <c r="KG22" i="1"/>
  <c r="SA22" i="1" s="1"/>
  <c r="SE22" i="1" s="1"/>
  <c r="OU19" i="1"/>
  <c r="EV20" i="1"/>
  <c r="EW20" i="1" s="1"/>
  <c r="EX20" i="1" s="1"/>
  <c r="EY20" i="1" s="1"/>
  <c r="EZ20" i="1" s="1"/>
  <c r="FA20" i="1" s="1"/>
  <c r="ET19" i="1"/>
  <c r="EU19" i="1" s="1"/>
  <c r="RX22" i="1"/>
  <c r="SC22" i="1" s="1"/>
  <c r="SG22" i="1" s="1"/>
  <c r="EZ21" i="1"/>
  <c r="FA21" i="1" s="1"/>
  <c r="FC20" i="1"/>
  <c r="RZ20" i="1" s="1"/>
  <c r="EV22" i="1"/>
  <c r="EW22" i="1" s="1"/>
  <c r="EX22" i="1" s="1"/>
  <c r="EY22" i="1" s="1"/>
  <c r="FC22" i="1"/>
  <c r="RZ22" i="1" s="1"/>
  <c r="SD22" i="1" s="1"/>
  <c r="EV23" i="1"/>
  <c r="EW23" i="1" s="1"/>
  <c r="EX23" i="1" s="1"/>
  <c r="EY23" i="1" s="1"/>
  <c r="RZ23" i="1"/>
  <c r="SD23" i="1" s="1"/>
  <c r="HT24" i="1"/>
  <c r="HT26" i="1"/>
  <c r="II20" i="1"/>
  <c r="HT36" i="1"/>
  <c r="HY29" i="1"/>
  <c r="HT35" i="1"/>
  <c r="LX19" i="1"/>
  <c r="MF19" i="1"/>
  <c r="CW7" i="22"/>
  <c r="DW21" i="1"/>
  <c r="CT25" i="22"/>
  <c r="CT17" i="22"/>
  <c r="DY21" i="1"/>
  <c r="DB28" i="22"/>
  <c r="DB15" i="22"/>
  <c r="DW20" i="1"/>
  <c r="CT23" i="22"/>
  <c r="DB13" i="22"/>
  <c r="CX14" i="22"/>
  <c r="CT27" i="22"/>
  <c r="CT24" i="22"/>
  <c r="DB16" i="22"/>
  <c r="DY20" i="1"/>
  <c r="CX11" i="22"/>
  <c r="CX10" i="22"/>
  <c r="MA21" i="1"/>
  <c r="HV29" i="1"/>
  <c r="QE19" i="1" l="1"/>
  <c r="MG19" i="1"/>
  <c r="LZ19" i="1"/>
  <c r="LY19" i="1"/>
  <c r="BG7" i="22" s="1"/>
  <c r="QS25" i="1"/>
  <c r="HZ29" i="1"/>
  <c r="QF26" i="1"/>
  <c r="IJ20" i="1"/>
  <c r="IN20" i="1" s="1"/>
  <c r="HU24" i="1"/>
  <c r="HU36" i="1"/>
  <c r="HU35" i="1"/>
  <c r="HY35" i="1" s="1"/>
  <c r="HU26" i="1"/>
  <c r="HY26" i="1" s="1"/>
  <c r="S8" i="22"/>
  <c r="S9" i="22"/>
  <c r="QF24" i="1"/>
  <c r="PA25" i="1"/>
  <c r="PM25" i="1" s="1"/>
  <c r="SO40" i="1"/>
  <c r="SP40" i="1" s="1"/>
  <c r="SQ40" i="1" s="1"/>
  <c r="SR40" i="1" s="1"/>
  <c r="SS40" i="1" s="1"/>
  <c r="ST40" i="1" s="1"/>
  <c r="TD40" i="1" s="1"/>
  <c r="SI25" i="1"/>
  <c r="SH25" i="1"/>
  <c r="PZ25" i="1"/>
  <c r="QF25" i="1" s="1"/>
  <c r="SL25" i="1"/>
  <c r="RH21" i="1"/>
  <c r="RM21" i="1" s="1"/>
  <c r="SO35" i="1"/>
  <c r="SP35" i="1" s="1"/>
  <c r="SQ35" i="1" s="1"/>
  <c r="SR35" i="1" s="1"/>
  <c r="SS35" i="1" s="1"/>
  <c r="ST35" i="1" s="1"/>
  <c r="TD35" i="1" s="1"/>
  <c r="V9" i="22"/>
  <c r="V8" i="22"/>
  <c r="SO36" i="1"/>
  <c r="SP36" i="1" s="1"/>
  <c r="SQ36" i="1" s="1"/>
  <c r="SR36" i="1" s="1"/>
  <c r="SS36" i="1" s="1"/>
  <c r="ST36" i="1" s="1"/>
  <c r="TD36" i="1" s="1"/>
  <c r="SO38" i="1"/>
  <c r="SP38" i="1" s="1"/>
  <c r="SQ38" i="1" s="1"/>
  <c r="SR38" i="1" s="1"/>
  <c r="SS38" i="1" s="1"/>
  <c r="ST38" i="1" s="1"/>
  <c r="TD38" i="1" s="1"/>
  <c r="TF37" i="1"/>
  <c r="SO37" i="1"/>
  <c r="SP37" i="1" s="1"/>
  <c r="SQ37" i="1" s="1"/>
  <c r="SR37" i="1" s="1"/>
  <c r="SS37" i="1" s="1"/>
  <c r="ST37" i="1" s="1"/>
  <c r="TD37" i="1" s="1"/>
  <c r="TF39" i="1"/>
  <c r="SO39" i="1"/>
  <c r="SP39" i="1" s="1"/>
  <c r="SQ39" i="1" s="1"/>
  <c r="SR39" i="1" s="1"/>
  <c r="SS39" i="1" s="1"/>
  <c r="ST39" i="1" s="1"/>
  <c r="TD39" i="1" s="1"/>
  <c r="QS24" i="1"/>
  <c r="OY23" i="1"/>
  <c r="OW20" i="1"/>
  <c r="OX20" i="1" s="1"/>
  <c r="PA24" i="1"/>
  <c r="PM24" i="1" s="1"/>
  <c r="OW21" i="1"/>
  <c r="OX21" i="1" s="1"/>
  <c r="OY21" i="1" s="1"/>
  <c r="RI23" i="1"/>
  <c r="RN23" i="1" s="1"/>
  <c r="RP23" i="1" s="1"/>
  <c r="RQ23" i="1" s="1"/>
  <c r="RR23" i="1" s="1"/>
  <c r="RS23" i="1" s="1"/>
  <c r="RT23" i="1" s="1"/>
  <c r="RU23" i="1" s="1"/>
  <c r="RV23" i="1" s="1"/>
  <c r="SE23" i="1"/>
  <c r="CO11" i="22" s="1"/>
  <c r="CS11" i="22" s="1"/>
  <c r="SD20" i="1"/>
  <c r="CK8" i="22" s="1"/>
  <c r="CM8" i="22" s="1"/>
  <c r="SL23" i="1"/>
  <c r="SJ34" i="1"/>
  <c r="TF34" i="1" s="1"/>
  <c r="RJ25" i="1"/>
  <c r="RO25" i="1" s="1"/>
  <c r="RP25" i="1" s="1"/>
  <c r="RQ25" i="1" s="1"/>
  <c r="RR25" i="1" s="1"/>
  <c r="RS25" i="1" s="1"/>
  <c r="RT25" i="1" s="1"/>
  <c r="RU25" i="1" s="1"/>
  <c r="RV25" i="1" s="1"/>
  <c r="TF29" i="1"/>
  <c r="TF31" i="1"/>
  <c r="SO31" i="1"/>
  <c r="SP31" i="1" s="1"/>
  <c r="SQ31" i="1" s="1"/>
  <c r="SR31" i="1" s="1"/>
  <c r="SS31" i="1" s="1"/>
  <c r="ST31" i="1" s="1"/>
  <c r="TD31" i="1" s="1"/>
  <c r="SJ26" i="1"/>
  <c r="TF33" i="1"/>
  <c r="SO33" i="1"/>
  <c r="SP33" i="1" s="1"/>
  <c r="SQ33" i="1" s="1"/>
  <c r="SR33" i="1" s="1"/>
  <c r="SS33" i="1" s="1"/>
  <c r="ST33" i="1" s="1"/>
  <c r="TD33" i="1" s="1"/>
  <c r="SJ30" i="1"/>
  <c r="SJ32" i="1"/>
  <c r="SJ27" i="1"/>
  <c r="SJ24" i="1"/>
  <c r="SJ28" i="1"/>
  <c r="CY11" i="22"/>
  <c r="DA11" i="22" s="1"/>
  <c r="SN23" i="1"/>
  <c r="SN22" i="1"/>
  <c r="CY10" i="22"/>
  <c r="DA10" i="22" s="1"/>
  <c r="SL20" i="1"/>
  <c r="CO8" i="22"/>
  <c r="CS8" i="22" s="1"/>
  <c r="SL22" i="1"/>
  <c r="CO10" i="22"/>
  <c r="SL21" i="1"/>
  <c r="CO9" i="22"/>
  <c r="CS9" i="22" s="1"/>
  <c r="SK22" i="1"/>
  <c r="CK10" i="22"/>
  <c r="CM10" i="22" s="1"/>
  <c r="SK23" i="1"/>
  <c r="CK11" i="22"/>
  <c r="CM11" i="22" s="1"/>
  <c r="SK21" i="1"/>
  <c r="CK9" i="22"/>
  <c r="CM9" i="22" s="1"/>
  <c r="OZ22" i="1"/>
  <c r="PA22" i="1" s="1"/>
  <c r="PM22" i="1" s="1"/>
  <c r="OW19" i="1"/>
  <c r="RI22" i="1"/>
  <c r="RK21" i="1"/>
  <c r="RK20" i="1"/>
  <c r="RK19" i="1"/>
  <c r="K15" i="4"/>
  <c r="SJ48" i="1"/>
  <c r="RG20" i="1"/>
  <c r="RL20" i="1" s="1"/>
  <c r="RG19" i="1"/>
  <c r="SK20" i="1"/>
  <c r="SA19" i="1"/>
  <c r="SE19" i="1" s="1"/>
  <c r="RX19" i="1"/>
  <c r="SC19" i="1" s="1"/>
  <c r="SG19" i="1" s="1"/>
  <c r="SI22" i="1"/>
  <c r="SH23" i="1"/>
  <c r="SI23" i="1"/>
  <c r="SH22" i="1"/>
  <c r="RX20" i="1"/>
  <c r="RX21" i="1"/>
  <c r="SC21" i="1" s="1"/>
  <c r="SG21" i="1" s="1"/>
  <c r="EZ22" i="1"/>
  <c r="FA22" i="1" s="1"/>
  <c r="EZ23" i="1"/>
  <c r="FA23" i="1" s="1"/>
  <c r="FC19" i="1"/>
  <c r="EV19" i="1"/>
  <c r="EW19" i="1" s="1"/>
  <c r="EX19" i="1" s="1"/>
  <c r="EY19" i="1" s="1"/>
  <c r="EZ19" i="1" s="1"/>
  <c r="FA19" i="1" s="1"/>
  <c r="HY24" i="1"/>
  <c r="II35" i="1"/>
  <c r="HT34" i="1"/>
  <c r="HY36" i="1"/>
  <c r="CS10" i="22"/>
  <c r="II21" i="1"/>
  <c r="II25" i="1"/>
  <c r="HT32" i="1"/>
  <c r="II26" i="1"/>
  <c r="HT22" i="1"/>
  <c r="HT30" i="1"/>
  <c r="IK20" i="1"/>
  <c r="MH19" i="1"/>
  <c r="CX9" i="22"/>
  <c r="HV36" i="1"/>
  <c r="IA29" i="1"/>
  <c r="CT12" i="22"/>
  <c r="DB18" i="22"/>
  <c r="CT14" i="22"/>
  <c r="CT28" i="22"/>
  <c r="CT13" i="22"/>
  <c r="IP29" i="1"/>
  <c r="CX8" i="22"/>
  <c r="HV26" i="1"/>
  <c r="CT36" i="22"/>
  <c r="IA28" i="1"/>
  <c r="CT15" i="22"/>
  <c r="CT20" i="22"/>
  <c r="CT16" i="22"/>
  <c r="HV35" i="1"/>
  <c r="O24" i="21"/>
  <c r="DB12" i="22"/>
  <c r="CT22" i="22"/>
  <c r="CX7" i="22"/>
  <c r="N24" i="21"/>
  <c r="HV24" i="1"/>
  <c r="IR21" i="1"/>
  <c r="DB14" i="22"/>
  <c r="CT18" i="22"/>
  <c r="AN8" i="22" l="1"/>
  <c r="IO20" i="1"/>
  <c r="HZ36" i="1"/>
  <c r="HZ24" i="1"/>
  <c r="HZ26" i="1"/>
  <c r="HZ35" i="1"/>
  <c r="IJ26" i="1"/>
  <c r="HU32" i="1"/>
  <c r="HY32" i="1" s="1"/>
  <c r="IJ25" i="1"/>
  <c r="IN25" i="1" s="1"/>
  <c r="HU30" i="1"/>
  <c r="HY30" i="1" s="1"/>
  <c r="HU34" i="1"/>
  <c r="HY34" i="1" s="1"/>
  <c r="IJ35" i="1"/>
  <c r="IN35" i="1" s="1"/>
  <c r="IJ21" i="1"/>
  <c r="IN21" i="1" s="1"/>
  <c r="HU22" i="1"/>
  <c r="AJ17" i="22"/>
  <c r="AL8" i="22"/>
  <c r="H21" i="21"/>
  <c r="RI21" i="1"/>
  <c r="RN21" i="1" s="1"/>
  <c r="SJ25" i="1"/>
  <c r="SO25" i="1" s="1"/>
  <c r="SP25" i="1" s="1"/>
  <c r="SQ25" i="1" s="1"/>
  <c r="SR25" i="1" s="1"/>
  <c r="SS25" i="1" s="1"/>
  <c r="ST25" i="1" s="1"/>
  <c r="TD25" i="1" s="1"/>
  <c r="IS21" i="1"/>
  <c r="AQ17" i="22"/>
  <c r="QS22" i="1"/>
  <c r="PZ22" i="1"/>
  <c r="QF22" i="1" s="1"/>
  <c r="OZ21" i="1"/>
  <c r="PZ21" i="1" s="1"/>
  <c r="QF21" i="1" s="1"/>
  <c r="OZ23" i="1"/>
  <c r="QS23" i="1" s="1"/>
  <c r="SO34" i="1"/>
  <c r="SP34" i="1" s="1"/>
  <c r="SQ34" i="1" s="1"/>
  <c r="SR34" i="1" s="1"/>
  <c r="SS34" i="1" s="1"/>
  <c r="ST34" i="1" s="1"/>
  <c r="TD34" i="1" s="1"/>
  <c r="SO26" i="1"/>
  <c r="SP26" i="1" s="1"/>
  <c r="SQ26" i="1" s="1"/>
  <c r="SR26" i="1" s="1"/>
  <c r="SS26" i="1" s="1"/>
  <c r="ST26" i="1" s="1"/>
  <c r="TD26" i="1" s="1"/>
  <c r="TF26" i="1"/>
  <c r="TF24" i="1"/>
  <c r="SO24" i="1"/>
  <c r="SP24" i="1" s="1"/>
  <c r="SQ24" i="1" s="1"/>
  <c r="SR24" i="1" s="1"/>
  <c r="SS24" i="1" s="1"/>
  <c r="ST24" i="1" s="1"/>
  <c r="TD24" i="1" s="1"/>
  <c r="TF30" i="1"/>
  <c r="SO30" i="1"/>
  <c r="SP30" i="1" s="1"/>
  <c r="SQ30" i="1" s="1"/>
  <c r="SR30" i="1" s="1"/>
  <c r="SS30" i="1" s="1"/>
  <c r="ST30" i="1" s="1"/>
  <c r="TD30" i="1" s="1"/>
  <c r="TF27" i="1"/>
  <c r="SO27" i="1"/>
  <c r="SP27" i="1" s="1"/>
  <c r="SQ27" i="1" s="1"/>
  <c r="SR27" i="1" s="1"/>
  <c r="SS27" i="1" s="1"/>
  <c r="ST27" i="1" s="1"/>
  <c r="TD27" i="1" s="1"/>
  <c r="TF28" i="1"/>
  <c r="SO28" i="1"/>
  <c r="SP28" i="1" s="1"/>
  <c r="SQ28" i="1" s="1"/>
  <c r="SR28" i="1" s="1"/>
  <c r="SS28" i="1" s="1"/>
  <c r="ST28" i="1" s="1"/>
  <c r="TD28" i="1" s="1"/>
  <c r="TF32" i="1"/>
  <c r="SO32" i="1"/>
  <c r="SP32" i="1" s="1"/>
  <c r="SQ32" i="1" s="1"/>
  <c r="SR32" i="1" s="1"/>
  <c r="SS32" i="1" s="1"/>
  <c r="ST32" i="1" s="1"/>
  <c r="TD32" i="1" s="1"/>
  <c r="SN21" i="1"/>
  <c r="CY9" i="22"/>
  <c r="SN19" i="1"/>
  <c r="CY7" i="22"/>
  <c r="DA7" i="22" s="1"/>
  <c r="SL19" i="1"/>
  <c r="CO7" i="22"/>
  <c r="CS7" i="22" s="1"/>
  <c r="OY20" i="1"/>
  <c r="OZ20" i="1" s="1"/>
  <c r="OX19" i="1"/>
  <c r="OY19" i="1" s="1"/>
  <c r="OZ19" i="1" s="1"/>
  <c r="RN22" i="1"/>
  <c r="RJ22" i="1"/>
  <c r="RJ21" i="1"/>
  <c r="K16" i="4"/>
  <c r="TF48" i="1"/>
  <c r="SO48" i="1"/>
  <c r="SP48" i="1" s="1"/>
  <c r="SQ48" i="1" s="1"/>
  <c r="SR48" i="1" s="1"/>
  <c r="SS48" i="1" s="1"/>
  <c r="ST48" i="1" s="1"/>
  <c r="TD48" i="1" s="1"/>
  <c r="RL19" i="1"/>
  <c r="RH20" i="1"/>
  <c r="RM20" i="1" s="1"/>
  <c r="RH19" i="1"/>
  <c r="RM19" i="1" s="1"/>
  <c r="SC20" i="1"/>
  <c r="SG20" i="1" s="1"/>
  <c r="SJ23" i="1"/>
  <c r="SJ22" i="1"/>
  <c r="SH21" i="1"/>
  <c r="SI21" i="1"/>
  <c r="RZ19" i="1"/>
  <c r="SD19" i="1" s="1"/>
  <c r="HT31" i="1"/>
  <c r="HT21" i="1"/>
  <c r="IN26" i="1"/>
  <c r="HT33" i="1"/>
  <c r="HT25" i="1"/>
  <c r="II36" i="1"/>
  <c r="II34" i="1"/>
  <c r="HY22" i="1"/>
  <c r="IK26" i="1"/>
  <c r="IA27" i="1"/>
  <c r="HV30" i="1"/>
  <c r="IA36" i="1"/>
  <c r="IK25" i="1"/>
  <c r="IR23" i="1"/>
  <c r="IP28" i="1"/>
  <c r="IR20" i="1"/>
  <c r="IP20" i="1"/>
  <c r="HV22" i="1"/>
  <c r="IA24" i="1"/>
  <c r="H39" i="21"/>
  <c r="HV34" i="1"/>
  <c r="HV32" i="1"/>
  <c r="IK21" i="1"/>
  <c r="IK35" i="1"/>
  <c r="IA35" i="1"/>
  <c r="AN9" i="22" l="1"/>
  <c r="AG10" i="22"/>
  <c r="AD17" i="22"/>
  <c r="AK17" i="22"/>
  <c r="AP8" i="22"/>
  <c r="IO26" i="1"/>
  <c r="IO21" i="1"/>
  <c r="IO25" i="1"/>
  <c r="IO35" i="1"/>
  <c r="HZ34" i="1"/>
  <c r="HZ22" i="1"/>
  <c r="HZ30" i="1"/>
  <c r="HZ32" i="1"/>
  <c r="AJ23" i="22"/>
  <c r="AJ24" i="22"/>
  <c r="HU21" i="1"/>
  <c r="HY21" i="1" s="1"/>
  <c r="IJ36" i="1"/>
  <c r="IN36" i="1" s="1"/>
  <c r="HU25" i="1"/>
  <c r="HY25" i="1" s="1"/>
  <c r="HU33" i="1"/>
  <c r="HY33" i="1" s="1"/>
  <c r="HU31" i="1"/>
  <c r="HY31" i="1" s="1"/>
  <c r="IJ34" i="1"/>
  <c r="IN34" i="1" s="1"/>
  <c r="IS23" i="1"/>
  <c r="AS11" i="22" s="1"/>
  <c r="IS20" i="1"/>
  <c r="AS8" i="22" s="1"/>
  <c r="AQ8" i="22"/>
  <c r="AM8" i="22" s="1"/>
  <c r="AE10" i="22"/>
  <c r="AL9" i="22"/>
  <c r="TF25" i="1"/>
  <c r="AS9" i="22"/>
  <c r="AJ16" i="22"/>
  <c r="DA9" i="22"/>
  <c r="IW21" i="1"/>
  <c r="IK34" i="1"/>
  <c r="IP21" i="1"/>
  <c r="CN8" i="22"/>
  <c r="HV33" i="1"/>
  <c r="HV31" i="1"/>
  <c r="CN10" i="22"/>
  <c r="CN9" i="22"/>
  <c r="IA22" i="1"/>
  <c r="DB17" i="22"/>
  <c r="DB11" i="22"/>
  <c r="IA30" i="1"/>
  <c r="IA34" i="1"/>
  <c r="CT8" i="22"/>
  <c r="IR22" i="1"/>
  <c r="IP26" i="1"/>
  <c r="CT10" i="22"/>
  <c r="IK36" i="1"/>
  <c r="DB10" i="22"/>
  <c r="HV21" i="1"/>
  <c r="CT11" i="22"/>
  <c r="IT20" i="1"/>
  <c r="IT23" i="1"/>
  <c r="CN11" i="22"/>
  <c r="IP35" i="1"/>
  <c r="CT9" i="22"/>
  <c r="IP25" i="1"/>
  <c r="IT21" i="1"/>
  <c r="HV25" i="1"/>
  <c r="IA32" i="1"/>
  <c r="IW20" i="1" l="1"/>
  <c r="IX20" i="1" s="1"/>
  <c r="AG9" i="22"/>
  <c r="AD23" i="22"/>
  <c r="AD24" i="22"/>
  <c r="AD16" i="22"/>
  <c r="AW11" i="22"/>
  <c r="AP9" i="22"/>
  <c r="AI10" i="22"/>
  <c r="IX21" i="1"/>
  <c r="IO34" i="1"/>
  <c r="IO36" i="1"/>
  <c r="HZ31" i="1"/>
  <c r="HZ21" i="1"/>
  <c r="HZ33" i="1"/>
  <c r="HZ25" i="1"/>
  <c r="AJ20" i="22"/>
  <c r="AQ23" i="22"/>
  <c r="AJ18" i="22"/>
  <c r="AJ22" i="22"/>
  <c r="AQ9" i="22"/>
  <c r="AM9" i="22" s="1"/>
  <c r="AJ10" i="22"/>
  <c r="AK8" i="22"/>
  <c r="AE9" i="22"/>
  <c r="PA21" i="1"/>
  <c r="PM21" i="1" s="1"/>
  <c r="PA23" i="1"/>
  <c r="PM23" i="1" s="1"/>
  <c r="PZ19" i="1"/>
  <c r="QF19" i="1" s="1"/>
  <c r="QS19" i="1"/>
  <c r="PZ23" i="1"/>
  <c r="QF23" i="1" s="1"/>
  <c r="IS22" i="1"/>
  <c r="AL11" i="22"/>
  <c r="AJ15" i="22"/>
  <c r="AQ16" i="22"/>
  <c r="AU8" i="22"/>
  <c r="AW8" i="22" s="1"/>
  <c r="AU9" i="22"/>
  <c r="AW9" i="22" s="1"/>
  <c r="AU11" i="22"/>
  <c r="QS21" i="1"/>
  <c r="QS20" i="1"/>
  <c r="PZ20" i="1"/>
  <c r="QF20" i="1" s="1"/>
  <c r="SI20" i="1"/>
  <c r="CY8" i="22"/>
  <c r="DA8" i="22" s="1"/>
  <c r="SK19" i="1"/>
  <c r="CK7" i="22"/>
  <c r="CM7" i="22" s="1"/>
  <c r="PA20" i="1"/>
  <c r="PM20" i="1" s="1"/>
  <c r="PA19" i="1"/>
  <c r="PM19" i="1" s="1"/>
  <c r="RO22" i="1"/>
  <c r="RP22" i="1" s="1"/>
  <c r="RQ22" i="1" s="1"/>
  <c r="RR22" i="1" s="1"/>
  <c r="RS22" i="1" s="1"/>
  <c r="RT22" i="1" s="1"/>
  <c r="RU22" i="1" s="1"/>
  <c r="RV22" i="1" s="1"/>
  <c r="RO21" i="1"/>
  <c r="RP21" i="1" s="1"/>
  <c r="RQ21" i="1" s="1"/>
  <c r="RR21" i="1" s="1"/>
  <c r="RS21" i="1" s="1"/>
  <c r="RT21" i="1" s="1"/>
  <c r="RU21" i="1" s="1"/>
  <c r="RV21" i="1" s="1"/>
  <c r="RI19" i="1"/>
  <c r="RN19" i="1" s="1"/>
  <c r="K17" i="4"/>
  <c r="RI20" i="1"/>
  <c r="TF22" i="1"/>
  <c r="SO22" i="1"/>
  <c r="SP22" i="1" s="1"/>
  <c r="SQ22" i="1" s="1"/>
  <c r="SR22" i="1" s="1"/>
  <c r="SS22" i="1" s="1"/>
  <c r="ST22" i="1" s="1"/>
  <c r="TD22" i="1" s="1"/>
  <c r="TF23" i="1"/>
  <c r="SO23" i="1"/>
  <c r="SP23" i="1" s="1"/>
  <c r="SQ23" i="1" s="1"/>
  <c r="SR23" i="1" s="1"/>
  <c r="SS23" i="1" s="1"/>
  <c r="ST23" i="1" s="1"/>
  <c r="TD23" i="1" s="1"/>
  <c r="SN20" i="1"/>
  <c r="SH20" i="1"/>
  <c r="SJ21" i="1"/>
  <c r="SH19" i="1"/>
  <c r="SI19" i="1"/>
  <c r="JT21" i="1"/>
  <c r="JT23" i="1"/>
  <c r="IW23" i="1"/>
  <c r="JT20" i="1"/>
  <c r="JT25" i="1"/>
  <c r="JT22" i="1"/>
  <c r="JT26" i="1"/>
  <c r="QG19" i="1"/>
  <c r="PN19" i="1"/>
  <c r="IA25" i="1"/>
  <c r="IA21" i="1"/>
  <c r="IY21" i="1"/>
  <c r="IP34" i="1"/>
  <c r="IY20" i="1"/>
  <c r="IA33" i="1"/>
  <c r="IA26" i="1"/>
  <c r="DB7" i="22"/>
  <c r="IT22" i="1"/>
  <c r="DB9" i="22"/>
  <c r="IA31" i="1"/>
  <c r="IP27" i="1"/>
  <c r="IP36" i="1"/>
  <c r="IP23" i="1"/>
  <c r="PT19" i="1" l="1"/>
  <c r="QM19" i="1"/>
  <c r="IX23" i="1"/>
  <c r="AD10" i="22"/>
  <c r="AF10" i="22"/>
  <c r="AD20" i="22"/>
  <c r="AD15" i="22"/>
  <c r="AD22" i="22"/>
  <c r="AD18" i="22"/>
  <c r="AK23" i="22"/>
  <c r="AK16" i="22"/>
  <c r="AI9" i="22"/>
  <c r="JU22" i="1"/>
  <c r="JU23" i="1"/>
  <c r="JU25" i="1"/>
  <c r="JU26" i="1"/>
  <c r="JU20" i="1"/>
  <c r="JU21" i="1"/>
  <c r="AQ24" i="22"/>
  <c r="AJ9" i="22"/>
  <c r="AQ22" i="22"/>
  <c r="AJ13" i="22"/>
  <c r="AJ19" i="22"/>
  <c r="AJ21" i="22"/>
  <c r="AK9" i="22"/>
  <c r="AX8" i="22"/>
  <c r="AT8" i="22" s="1"/>
  <c r="AX9" i="22"/>
  <c r="AT9" i="22" s="1"/>
  <c r="AS10" i="22"/>
  <c r="AP11" i="22"/>
  <c r="AU10" i="22"/>
  <c r="SJ20" i="1"/>
  <c r="SO20" i="1" s="1"/>
  <c r="SP20" i="1" s="1"/>
  <c r="SQ20" i="1" s="1"/>
  <c r="SR20" i="1" s="1"/>
  <c r="SS20" i="1" s="1"/>
  <c r="ST20" i="1" s="1"/>
  <c r="TD20" i="1" s="1"/>
  <c r="RJ19" i="1"/>
  <c r="RO19" i="1" s="1"/>
  <c r="K18" i="4"/>
  <c r="RN20" i="1"/>
  <c r="RJ20" i="1"/>
  <c r="RO20" i="1" s="1"/>
  <c r="TF21" i="1"/>
  <c r="SO21" i="1"/>
  <c r="SP21" i="1" s="1"/>
  <c r="SQ21" i="1" s="1"/>
  <c r="SR21" i="1" s="1"/>
  <c r="SS21" i="1" s="1"/>
  <c r="ST21" i="1" s="1"/>
  <c r="TD21" i="1" s="1"/>
  <c r="SJ19" i="1"/>
  <c r="SO19" i="1" s="1"/>
  <c r="MF21" i="1"/>
  <c r="LX26" i="1"/>
  <c r="MF26" i="1"/>
  <c r="IW22" i="1"/>
  <c r="LX22" i="1"/>
  <c r="MF22" i="1"/>
  <c r="LX21" i="1"/>
  <c r="CN7" i="22"/>
  <c r="JV26" i="1"/>
  <c r="CT7" i="22"/>
  <c r="JV25" i="1"/>
  <c r="IY23" i="1"/>
  <c r="DB8" i="22"/>
  <c r="JV21" i="1"/>
  <c r="PU19" i="1"/>
  <c r="PP19" i="1"/>
  <c r="JV23" i="1"/>
  <c r="JV20" i="1"/>
  <c r="JV22" i="1"/>
  <c r="PV19" i="1" l="1"/>
  <c r="AX11" i="22"/>
  <c r="AT11" i="22" s="1"/>
  <c r="AD21" i="22"/>
  <c r="AD9" i="22"/>
  <c r="AF9" i="22"/>
  <c r="AD19" i="22"/>
  <c r="AD13" i="22"/>
  <c r="AK22" i="22"/>
  <c r="AK24" i="22"/>
  <c r="MG26" i="1"/>
  <c r="MG21" i="1"/>
  <c r="MG22" i="1"/>
  <c r="IX22" i="1"/>
  <c r="LY21" i="1"/>
  <c r="BG9" i="22" s="1"/>
  <c r="LZ21" i="1"/>
  <c r="LZ22" i="1"/>
  <c r="LY22" i="1"/>
  <c r="BG10" i="22" s="1"/>
  <c r="LZ26" i="1"/>
  <c r="LY26" i="1"/>
  <c r="BG14" i="22" s="1"/>
  <c r="AW10" i="22"/>
  <c r="AR9" i="22"/>
  <c r="AR8" i="22"/>
  <c r="BE11" i="22"/>
  <c r="BC11" i="22" s="1"/>
  <c r="AJ14" i="22"/>
  <c r="AQ15" i="22"/>
  <c r="AN11" i="22"/>
  <c r="AQ11" i="22"/>
  <c r="AM11" i="22" s="1"/>
  <c r="H49" i="21"/>
  <c r="H29" i="21"/>
  <c r="MH22" i="1"/>
  <c r="IY22" i="1"/>
  <c r="H19" i="21"/>
  <c r="MH26" i="1"/>
  <c r="MH21" i="1"/>
  <c r="AR11" i="22" l="1"/>
  <c r="AD14" i="22"/>
  <c r="AK15" i="22"/>
  <c r="AX10" i="22"/>
  <c r="AT10" i="22" s="1"/>
  <c r="BE14" i="22"/>
  <c r="BC14" i="22" s="1"/>
  <c r="BE13" i="22"/>
  <c r="BC13" i="22" s="1"/>
  <c r="BE10" i="22"/>
  <c r="BC10" i="22" s="1"/>
  <c r="BE8" i="22"/>
  <c r="BC8" i="22" s="1"/>
  <c r="BE9" i="22"/>
  <c r="BC9" i="22" s="1"/>
  <c r="AK11" i="22"/>
  <c r="BF14" i="22"/>
  <c r="TF20" i="1"/>
  <c r="RP20" i="1"/>
  <c r="RQ20" i="1" s="1"/>
  <c r="RR20" i="1" s="1"/>
  <c r="RS20" i="1" s="1"/>
  <c r="RT20" i="1" s="1"/>
  <c r="RU20" i="1" s="1"/>
  <c r="RV20" i="1" s="1"/>
  <c r="RP19" i="1"/>
  <c r="RQ19" i="1" s="1"/>
  <c r="RR19" i="1" s="1"/>
  <c r="RS19" i="1" s="1"/>
  <c r="RT19" i="1" s="1"/>
  <c r="RU19" i="1" s="1"/>
  <c r="RV19" i="1" s="1"/>
  <c r="K19" i="4"/>
  <c r="SP19" i="1"/>
  <c r="SQ19" i="1" s="1"/>
  <c r="SR19" i="1" s="1"/>
  <c r="SS19" i="1" s="1"/>
  <c r="ST19" i="1" s="1"/>
  <c r="TD19" i="1" s="1"/>
  <c r="TF19" i="1"/>
  <c r="MF41" i="1"/>
  <c r="LX41" i="1"/>
  <c r="MF23" i="1"/>
  <c r="LX43" i="1"/>
  <c r="LX23" i="1"/>
  <c r="MF43" i="1"/>
  <c r="BK14" i="22"/>
  <c r="MG43" i="1" l="1"/>
  <c r="MG41" i="1"/>
  <c r="MG23" i="1"/>
  <c r="LZ43" i="1"/>
  <c r="BF31" i="22"/>
  <c r="LY41" i="1"/>
  <c r="BG29" i="22" s="1"/>
  <c r="LZ41" i="1"/>
  <c r="BF29" i="22"/>
  <c r="LZ23" i="1"/>
  <c r="BF22" i="22"/>
  <c r="BF11" i="22"/>
  <c r="BF21" i="22"/>
  <c r="BF15" i="22"/>
  <c r="AR10" i="22"/>
  <c r="MB26" i="1"/>
  <c r="MD26" i="1"/>
  <c r="K20" i="4"/>
  <c r="LX40" i="1"/>
  <c r="LX20" i="1"/>
  <c r="LX24" i="1"/>
  <c r="MF24" i="1"/>
  <c r="MF40" i="1"/>
  <c r="MF20" i="1"/>
  <c r="MC26" i="1"/>
  <c r="ME26" i="1"/>
  <c r="BK15" i="22"/>
  <c r="MH23" i="1"/>
  <c r="MH43" i="1"/>
  <c r="BK29" i="22"/>
  <c r="BK22" i="22"/>
  <c r="BK31" i="22"/>
  <c r="BK11" i="22"/>
  <c r="BK21" i="22"/>
  <c r="MH41" i="1"/>
  <c r="BJ31" i="22" l="1"/>
  <c r="MG24" i="1"/>
  <c r="MG40" i="1"/>
  <c r="MG20" i="1"/>
  <c r="LZ24" i="1"/>
  <c r="LZ40" i="1"/>
  <c r="LY40" i="1"/>
  <c r="BG28" i="22" s="1"/>
  <c r="BF28" i="22"/>
  <c r="LY20" i="1"/>
  <c r="BG8" i="22" s="1"/>
  <c r="LZ20" i="1"/>
  <c r="MD41" i="1"/>
  <c r="MB41" i="1"/>
  <c r="MB43" i="1"/>
  <c r="MD43" i="1"/>
  <c r="BF12" i="22"/>
  <c r="BF13" i="22"/>
  <c r="BF10" i="22"/>
  <c r="BF9" i="22"/>
  <c r="BF8" i="22"/>
  <c r="BF7" i="22"/>
  <c r="MD23" i="1"/>
  <c r="MB23" i="1"/>
  <c r="BI14" i="22"/>
  <c r="BJ14" i="22" s="1"/>
  <c r="MB27" i="1"/>
  <c r="MD27" i="1"/>
  <c r="MB33" i="1"/>
  <c r="MD33" i="1"/>
  <c r="MB34" i="1"/>
  <c r="MD34" i="1"/>
  <c r="K21" i="4"/>
  <c r="MC23" i="1"/>
  <c r="ME41" i="1"/>
  <c r="PN38" i="1"/>
  <c r="QG24" i="1"/>
  <c r="MC41" i="1"/>
  <c r="BK12" i="22"/>
  <c r="BK8" i="22"/>
  <c r="MH20" i="1"/>
  <c r="MH24" i="1"/>
  <c r="QT20" i="1"/>
  <c r="BK10" i="22"/>
  <c r="BK28" i="22"/>
  <c r="BK13" i="22"/>
  <c r="BK7" i="22"/>
  <c r="MH40" i="1"/>
  <c r="BK9" i="22"/>
  <c r="QM24" i="1" l="1"/>
  <c r="QJ24" i="1"/>
  <c r="PT38" i="1"/>
  <c r="BI29" i="22"/>
  <c r="BJ29" i="22" s="1"/>
  <c r="MB40" i="1"/>
  <c r="MD40" i="1"/>
  <c r="QW20" i="1"/>
  <c r="QZ20" i="1"/>
  <c r="QJ19" i="1"/>
  <c r="BI11" i="22"/>
  <c r="BJ11" i="22" s="1"/>
  <c r="BI21" i="22"/>
  <c r="BJ21" i="22" s="1"/>
  <c r="BI15" i="22"/>
  <c r="BJ15" i="22" s="1"/>
  <c r="BI22" i="22"/>
  <c r="BJ22" i="22" s="1"/>
  <c r="MD19" i="1"/>
  <c r="MB19" i="1"/>
  <c r="MB20" i="1"/>
  <c r="MD20" i="1"/>
  <c r="MB21" i="1"/>
  <c r="MD21" i="1"/>
  <c r="MB25" i="1"/>
  <c r="MD25" i="1"/>
  <c r="MB24" i="1"/>
  <c r="MD24" i="1"/>
  <c r="MB22" i="1"/>
  <c r="MD22" i="1"/>
  <c r="MC24" i="1"/>
  <c r="MC22" i="1"/>
  <c r="ME21" i="1"/>
  <c r="MC21" i="1"/>
  <c r="ME40" i="1"/>
  <c r="ME22" i="1"/>
  <c r="ME20" i="1"/>
  <c r="MC20" i="1"/>
  <c r="MC40" i="1"/>
  <c r="ME19" i="1"/>
  <c r="MC19" i="1"/>
  <c r="PU38" i="1"/>
  <c r="QK24" i="1"/>
  <c r="QN19" i="1"/>
  <c r="QV20" i="1"/>
  <c r="QI19" i="1"/>
  <c r="QK19" i="1"/>
  <c r="QI24" i="1"/>
  <c r="QN24" i="1"/>
  <c r="PP38" i="1"/>
  <c r="QH19" i="1" l="1"/>
  <c r="QP19" i="1" s="1"/>
  <c r="QQ19" i="1" s="1"/>
  <c r="BI28" i="22"/>
  <c r="BJ28" i="22" s="1"/>
  <c r="PV38" i="1"/>
  <c r="QL24" i="1"/>
  <c r="QO24" i="1"/>
  <c r="QO19" i="1"/>
  <c r="CA7" i="22" s="1"/>
  <c r="QL19" i="1"/>
  <c r="CF8" i="22"/>
  <c r="BX7" i="22"/>
  <c r="BI7" i="22"/>
  <c r="BJ7" i="22" s="1"/>
  <c r="BI8" i="22"/>
  <c r="BJ8" i="22" s="1"/>
  <c r="BI12" i="22"/>
  <c r="BJ12" i="22" s="1"/>
  <c r="BI9" i="22"/>
  <c r="BJ9" i="22" s="1"/>
  <c r="BI13" i="22"/>
  <c r="BJ13" i="22" s="1"/>
  <c r="BI10" i="22"/>
  <c r="BJ10" i="22" s="1"/>
  <c r="K22" i="4"/>
  <c r="PN23" i="1"/>
  <c r="PN22" i="1"/>
  <c r="QG21" i="1"/>
  <c r="PN26" i="1"/>
  <c r="QR19" i="1"/>
  <c r="BV7" i="22" l="1"/>
  <c r="QM21" i="1"/>
  <c r="QJ21" i="1"/>
  <c r="PT26" i="1"/>
  <c r="PT22" i="1"/>
  <c r="PQ22" i="1"/>
  <c r="PT23" i="1"/>
  <c r="BY7" i="22"/>
  <c r="K23" i="4"/>
  <c r="QG39" i="1"/>
  <c r="PN37" i="1"/>
  <c r="QG22" i="1"/>
  <c r="QG20" i="1"/>
  <c r="QG26" i="1"/>
  <c r="QI21" i="1"/>
  <c r="PP23" i="1"/>
  <c r="QN21" i="1"/>
  <c r="QK21" i="1"/>
  <c r="PP22" i="1"/>
  <c r="QT21" i="1"/>
  <c r="PR22" i="1"/>
  <c r="PU26" i="1"/>
  <c r="PP26" i="1"/>
  <c r="PU23" i="1"/>
  <c r="PU22" i="1"/>
  <c r="BZ7" i="22" l="1"/>
  <c r="BP10" i="22"/>
  <c r="QW21" i="1"/>
  <c r="QZ21" i="1"/>
  <c r="QM20" i="1"/>
  <c r="QJ20" i="1"/>
  <c r="PT37" i="1"/>
  <c r="QJ39" i="1"/>
  <c r="QM39" i="1"/>
  <c r="QJ26" i="1"/>
  <c r="QM26" i="1"/>
  <c r="QJ22" i="1"/>
  <c r="QM22" i="1"/>
  <c r="PV22" i="1"/>
  <c r="BS10" i="22" s="1"/>
  <c r="PV23" i="1"/>
  <c r="PV26" i="1"/>
  <c r="QL21" i="1"/>
  <c r="PS22" i="1"/>
  <c r="BQ10" i="22" s="1"/>
  <c r="PO22" i="1"/>
  <c r="BN10" i="22" s="1"/>
  <c r="QO21" i="1"/>
  <c r="PQ29" i="1"/>
  <c r="K24" i="4"/>
  <c r="QG23" i="1"/>
  <c r="QG37" i="1"/>
  <c r="PN21" i="1"/>
  <c r="QG25" i="1"/>
  <c r="PN42" i="1"/>
  <c r="QI20" i="1"/>
  <c r="QV21" i="1"/>
  <c r="QK39" i="1"/>
  <c r="QK26" i="1"/>
  <c r="QI26" i="1"/>
  <c r="QK20" i="1"/>
  <c r="QI39" i="1"/>
  <c r="QN26" i="1"/>
  <c r="PP37" i="1"/>
  <c r="PU37" i="1"/>
  <c r="QK22" i="1"/>
  <c r="QN39" i="1"/>
  <c r="QI22" i="1"/>
  <c r="QN20" i="1"/>
  <c r="QN22" i="1"/>
  <c r="CF9" i="22" l="1"/>
  <c r="BR10" i="22"/>
  <c r="PW22" i="1"/>
  <c r="PX22" i="1" s="1"/>
  <c r="QJ37" i="1"/>
  <c r="QM37" i="1"/>
  <c r="PT42" i="1"/>
  <c r="QM25" i="1"/>
  <c r="QJ25" i="1"/>
  <c r="PT21" i="1"/>
  <c r="PQ21" i="1"/>
  <c r="QM23" i="1"/>
  <c r="QJ23" i="1"/>
  <c r="QL22" i="1"/>
  <c r="QO39" i="1"/>
  <c r="QO20" i="1"/>
  <c r="QO26" i="1"/>
  <c r="QL39" i="1"/>
  <c r="QH39" i="1"/>
  <c r="QP39" i="1" s="1"/>
  <c r="QQ39" i="1" s="1"/>
  <c r="QL26" i="1"/>
  <c r="PV37" i="1"/>
  <c r="QO22" i="1"/>
  <c r="QL20" i="1"/>
  <c r="CB7" i="22"/>
  <c r="BW7" i="22" s="1"/>
  <c r="PR29" i="1"/>
  <c r="QK25" i="1"/>
  <c r="QI25" i="1"/>
  <c r="PU42" i="1"/>
  <c r="PR21" i="1"/>
  <c r="QK37" i="1"/>
  <c r="PP42" i="1"/>
  <c r="PP21" i="1"/>
  <c r="QK23" i="1"/>
  <c r="QI37" i="1"/>
  <c r="PU21" i="1"/>
  <c r="QI23" i="1"/>
  <c r="QR39" i="1"/>
  <c r="PY22" i="1"/>
  <c r="QN25" i="1"/>
  <c r="QN37" i="1"/>
  <c r="QN23" i="1"/>
  <c r="BP9" i="22" l="1"/>
  <c r="BX11" i="22"/>
  <c r="BT10" i="22"/>
  <c r="BO10" i="22" s="1"/>
  <c r="PS21" i="1"/>
  <c r="BQ9" i="22" s="1"/>
  <c r="PO21" i="1"/>
  <c r="BN9" i="22" s="1"/>
  <c r="PV42" i="1"/>
  <c r="QL23" i="1"/>
  <c r="PV21" i="1"/>
  <c r="BS9" i="22" s="1"/>
  <c r="QO37" i="1"/>
  <c r="QO23" i="1"/>
  <c r="QL25" i="1"/>
  <c r="QL37" i="1"/>
  <c r="QO25" i="1"/>
  <c r="BU7" i="22"/>
  <c r="PS29" i="1"/>
  <c r="BS17" i="22"/>
  <c r="BN17" i="22"/>
  <c r="BP17" i="22"/>
  <c r="PQ23" i="1"/>
  <c r="K25" i="4"/>
  <c r="PN39" i="1"/>
  <c r="PN24" i="1"/>
  <c r="QG42" i="1"/>
  <c r="PN20" i="1"/>
  <c r="QG38" i="1"/>
  <c r="PN25" i="1"/>
  <c r="QT22" i="1"/>
  <c r="PR23" i="1"/>
  <c r="QT23" i="1"/>
  <c r="PW21" i="1" l="1"/>
  <c r="PX21" i="1" s="1"/>
  <c r="BR9" i="22"/>
  <c r="BM10" i="22"/>
  <c r="PT20" i="1"/>
  <c r="PQ20" i="1"/>
  <c r="PT25" i="1"/>
  <c r="PT24" i="1"/>
  <c r="PT39" i="1"/>
  <c r="QJ42" i="1"/>
  <c r="QM42" i="1"/>
  <c r="QJ38" i="1"/>
  <c r="QM38" i="1"/>
  <c r="QW23" i="1"/>
  <c r="QZ23" i="1"/>
  <c r="QH22" i="1"/>
  <c r="QH23" i="1"/>
  <c r="PS23" i="1"/>
  <c r="PO23" i="1"/>
  <c r="BS11" i="22"/>
  <c r="CA11" i="22"/>
  <c r="CA17" i="22"/>
  <c r="CA10" i="22"/>
  <c r="BV17" i="22"/>
  <c r="BQ17" i="22"/>
  <c r="BR17" i="22" s="1"/>
  <c r="BP11" i="22"/>
  <c r="BX10" i="22"/>
  <c r="BX17" i="22"/>
  <c r="QZ22" i="1"/>
  <c r="QW22" i="1"/>
  <c r="PQ19" i="1"/>
  <c r="K26" i="4"/>
  <c r="PU39" i="1"/>
  <c r="RA22" i="1"/>
  <c r="QI38" i="1"/>
  <c r="PP24" i="1"/>
  <c r="PU25" i="1"/>
  <c r="QN38" i="1"/>
  <c r="PU20" i="1"/>
  <c r="PP20" i="1"/>
  <c r="QN42" i="1"/>
  <c r="QX21" i="1"/>
  <c r="RA20" i="1"/>
  <c r="RA21" i="1"/>
  <c r="PY21" i="1"/>
  <c r="QX20" i="1"/>
  <c r="PP25" i="1"/>
  <c r="QI42" i="1"/>
  <c r="QV23" i="1"/>
  <c r="PR19" i="1"/>
  <c r="QV22" i="1"/>
  <c r="QX23" i="1"/>
  <c r="RA23" i="1"/>
  <c r="PP39" i="1"/>
  <c r="QK38" i="1"/>
  <c r="QX22" i="1"/>
  <c r="PU24" i="1"/>
  <c r="QK42" i="1"/>
  <c r="PR20" i="1"/>
  <c r="PO19" i="1" l="1"/>
  <c r="BT9" i="22"/>
  <c r="BO9" i="22" s="1"/>
  <c r="BP8" i="22"/>
  <c r="CF11" i="22"/>
  <c r="RB23" i="1"/>
  <c r="CI11" i="22" s="1"/>
  <c r="QL38" i="1"/>
  <c r="QH38" i="1"/>
  <c r="QP38" i="1" s="1"/>
  <c r="PV39" i="1"/>
  <c r="PS20" i="1"/>
  <c r="BQ8" i="22" s="1"/>
  <c r="PO20" i="1"/>
  <c r="QY23" i="1"/>
  <c r="CG11" i="22" s="1"/>
  <c r="QU23" i="1"/>
  <c r="RC23" i="1" s="1"/>
  <c r="PV24" i="1"/>
  <c r="PV20" i="1"/>
  <c r="BS8" i="22" s="1"/>
  <c r="QO42" i="1"/>
  <c r="PV25" i="1"/>
  <c r="QO38" i="1"/>
  <c r="QL42" i="1"/>
  <c r="QH42" i="1"/>
  <c r="QP42" i="1" s="1"/>
  <c r="BV11" i="22"/>
  <c r="QP23" i="1"/>
  <c r="QQ23" i="1" s="1"/>
  <c r="BV10" i="22"/>
  <c r="QP22" i="1"/>
  <c r="QQ22" i="1" s="1"/>
  <c r="BN11" i="22"/>
  <c r="PW23" i="1"/>
  <c r="PX23" i="1" s="1"/>
  <c r="BM9" i="22"/>
  <c r="QH21" i="1"/>
  <c r="QH20" i="1"/>
  <c r="PS19" i="1"/>
  <c r="QU20" i="1"/>
  <c r="CD8" i="22" s="1"/>
  <c r="QU21" i="1"/>
  <c r="CD9" i="22" s="1"/>
  <c r="QU22" i="1"/>
  <c r="CD10" i="22" s="1"/>
  <c r="BS7" i="22"/>
  <c r="CA9" i="22"/>
  <c r="CA8" i="22"/>
  <c r="RB22" i="1"/>
  <c r="CI10" i="22" s="1"/>
  <c r="RB21" i="1"/>
  <c r="CI9" i="22" s="1"/>
  <c r="RB20" i="1"/>
  <c r="QY20" i="1"/>
  <c r="QY21" i="1"/>
  <c r="QY22" i="1"/>
  <c r="BY10" i="22"/>
  <c r="BY17" i="22"/>
  <c r="BZ17" i="22" s="1"/>
  <c r="BY11" i="22"/>
  <c r="BQ11" i="22"/>
  <c r="CF10" i="22"/>
  <c r="BX9" i="22"/>
  <c r="BX8" i="22"/>
  <c r="BT17" i="22"/>
  <c r="BO17" i="22" s="1"/>
  <c r="BP7" i="22"/>
  <c r="K27" i="4"/>
  <c r="PW20" i="1"/>
  <c r="PW19" i="1"/>
  <c r="QR22" i="1"/>
  <c r="QR23" i="1"/>
  <c r="PY23" i="1"/>
  <c r="PX19" i="1" l="1"/>
  <c r="BN7" i="22"/>
  <c r="BZ11" i="22"/>
  <c r="BR11" i="22"/>
  <c r="RD23" i="1"/>
  <c r="QQ42" i="1"/>
  <c r="QQ38" i="1"/>
  <c r="PX20" i="1"/>
  <c r="BZ10" i="22"/>
  <c r="CD11" i="22"/>
  <c r="CH11" i="22" s="1"/>
  <c r="BN8" i="22"/>
  <c r="BR8" i="22" s="1"/>
  <c r="RC20" i="1"/>
  <c r="RD20" i="1" s="1"/>
  <c r="RC21" i="1"/>
  <c r="RD21" i="1" s="1"/>
  <c r="RC22" i="1"/>
  <c r="RD22" i="1" s="1"/>
  <c r="BV8" i="22"/>
  <c r="QP20" i="1"/>
  <c r="QQ20" i="1" s="1"/>
  <c r="BV9" i="22"/>
  <c r="QP21" i="1"/>
  <c r="QQ21" i="1" s="1"/>
  <c r="BM17" i="22"/>
  <c r="CI8" i="22"/>
  <c r="CG9" i="22"/>
  <c r="CH9" i="22" s="1"/>
  <c r="CG10" i="22"/>
  <c r="CH10" i="22" s="1"/>
  <c r="CG8" i="22"/>
  <c r="CH8" i="22" s="1"/>
  <c r="BY8" i="22"/>
  <c r="BY9" i="22"/>
  <c r="BQ7" i="22"/>
  <c r="BT11" i="22"/>
  <c r="BO11" i="22" s="1"/>
  <c r="CB10" i="22"/>
  <c r="CB11" i="22"/>
  <c r="K28" i="4"/>
  <c r="PY20" i="1"/>
  <c r="PY19" i="1"/>
  <c r="QR38" i="1"/>
  <c r="RE23" i="1"/>
  <c r="QR42" i="1"/>
  <c r="QR21" i="1"/>
  <c r="QR20" i="1"/>
  <c r="BR7" i="22" l="1"/>
  <c r="BU10" i="22"/>
  <c r="BW10" i="22"/>
  <c r="BU11" i="22"/>
  <c r="BW11" i="22"/>
  <c r="BT8" i="22"/>
  <c r="BO8" i="22" s="1"/>
  <c r="CJ11" i="22"/>
  <c r="BZ9" i="22"/>
  <c r="BZ8" i="22"/>
  <c r="BM11" i="22"/>
  <c r="CB17" i="22"/>
  <c r="BW17" i="22" s="1"/>
  <c r="CB8" i="22"/>
  <c r="BT7" i="22"/>
  <c r="BO7" i="22" s="1"/>
  <c r="K29" i="4"/>
  <c r="RE22" i="1"/>
  <c r="RE21" i="1"/>
  <c r="RE20" i="1"/>
  <c r="CC11" i="22" l="1"/>
  <c r="CE11" i="22"/>
  <c r="BU8" i="22"/>
  <c r="BW8" i="22"/>
  <c r="BM8" i="22"/>
  <c r="BU17" i="22"/>
  <c r="BM7" i="22"/>
  <c r="CJ9" i="22"/>
  <c r="CB9" i="22"/>
  <c r="BW9" i="22" s="1"/>
  <c r="CJ8" i="22"/>
  <c r="CJ10" i="22"/>
  <c r="K30" i="4"/>
  <c r="II33" i="1"/>
  <c r="II30" i="1"/>
  <c r="II32" i="1"/>
  <c r="II31" i="1"/>
  <c r="IP37" i="1"/>
  <c r="IP48" i="1"/>
  <c r="IA46" i="1"/>
  <c r="IA41" i="1"/>
  <c r="IA42" i="1"/>
  <c r="IA43" i="1"/>
  <c r="IA37" i="1"/>
  <c r="IP43" i="1"/>
  <c r="QT29" i="1"/>
  <c r="QT19" i="1"/>
  <c r="IP44" i="1"/>
  <c r="IA47" i="1"/>
  <c r="IP47" i="1"/>
  <c r="IP39" i="1"/>
  <c r="IA44" i="1"/>
  <c r="IP45" i="1"/>
  <c r="IA48" i="1"/>
  <c r="IA39" i="1"/>
  <c r="IA45" i="1"/>
  <c r="IA40" i="1"/>
  <c r="IP41" i="1"/>
  <c r="IP46" i="1"/>
  <c r="IP38" i="1"/>
  <c r="IP42" i="1"/>
  <c r="IP40" i="1"/>
  <c r="IA38" i="1"/>
  <c r="CC10" i="22" l="1"/>
  <c r="CE10" i="22"/>
  <c r="CC9" i="22"/>
  <c r="CE9" i="22"/>
  <c r="CC8" i="22"/>
  <c r="CE8" i="22"/>
  <c r="QZ19" i="1"/>
  <c r="QW19" i="1"/>
  <c r="AJ27" i="22"/>
  <c r="AQ26" i="22"/>
  <c r="AJ25" i="22"/>
  <c r="IJ33" i="1"/>
  <c r="IN33" i="1" s="1"/>
  <c r="IO33" i="1" s="1"/>
  <c r="IJ31" i="1"/>
  <c r="IN31" i="1" s="1"/>
  <c r="IO31" i="1" s="1"/>
  <c r="IJ32" i="1"/>
  <c r="IN32" i="1" s="1"/>
  <c r="IO32" i="1" s="1"/>
  <c r="IJ30" i="1"/>
  <c r="IN30" i="1" s="1"/>
  <c r="IO30" i="1" s="1"/>
  <c r="AQ25" i="22"/>
  <c r="AJ26" i="22"/>
  <c r="AQ27" i="22"/>
  <c r="AJ28" i="22"/>
  <c r="QZ29" i="1"/>
  <c r="QW29" i="1"/>
  <c r="QU29" i="1"/>
  <c r="CD17" i="22" s="1"/>
  <c r="BU9" i="22"/>
  <c r="HD19" i="1"/>
  <c r="RA19" i="1"/>
  <c r="IK32" i="1"/>
  <c r="IP33" i="1"/>
  <c r="RA29" i="1"/>
  <c r="IP31" i="1"/>
  <c r="QV19" i="1"/>
  <c r="QV29" i="1"/>
  <c r="IK30" i="1"/>
  <c r="IK33" i="1"/>
  <c r="IP32" i="1"/>
  <c r="IK31" i="1"/>
  <c r="IP30" i="1"/>
  <c r="QX19" i="1"/>
  <c r="QX29" i="1"/>
  <c r="QU19" i="1" l="1"/>
  <c r="CD7" i="22" s="1"/>
  <c r="CF7" i="22"/>
  <c r="CF17" i="22"/>
  <c r="AD28" i="22"/>
  <c r="AD25" i="22"/>
  <c r="AD26" i="22"/>
  <c r="AD27" i="22"/>
  <c r="AK27" i="22"/>
  <c r="AK26" i="22"/>
  <c r="AK25" i="22"/>
  <c r="AQ20" i="22"/>
  <c r="QY19" i="1"/>
  <c r="CG7" i="22" s="1"/>
  <c r="AQ19" i="22"/>
  <c r="RB19" i="1"/>
  <c r="CI7" i="22" s="1"/>
  <c r="QY29" i="1"/>
  <c r="CG17" i="22" s="1"/>
  <c r="CH17" i="22" s="1"/>
  <c r="RB29" i="1"/>
  <c r="CI17" i="22" s="1"/>
  <c r="RC29" i="1"/>
  <c r="RD29" i="1" s="1"/>
  <c r="AQ21" i="22"/>
  <c r="AQ18" i="22"/>
  <c r="HE19" i="1"/>
  <c r="HF19" i="1" s="1"/>
  <c r="EH30" i="1"/>
  <c r="CX43" i="1"/>
  <c r="DI25" i="1"/>
  <c r="QT43" i="1"/>
  <c r="EH42" i="1"/>
  <c r="QT44" i="1"/>
  <c r="CX27" i="1"/>
  <c r="EH22" i="1"/>
  <c r="IR31" i="1"/>
  <c r="IR44" i="1"/>
  <c r="DI21" i="1"/>
  <c r="DT22" i="1"/>
  <c r="CX31" i="1"/>
  <c r="DT31" i="1"/>
  <c r="DI20" i="1"/>
  <c r="DI32" i="1"/>
  <c r="DT41" i="1"/>
  <c r="EH32" i="1"/>
  <c r="IR27" i="1"/>
  <c r="QT39" i="1"/>
  <c r="QT45" i="1"/>
  <c r="DT32" i="1"/>
  <c r="CX35" i="1"/>
  <c r="DT47" i="1"/>
  <c r="CX25" i="1"/>
  <c r="RE29" i="1"/>
  <c r="DI19" i="1"/>
  <c r="EH20" i="1"/>
  <c r="DI35" i="1"/>
  <c r="IR36" i="1"/>
  <c r="DT24" i="1"/>
  <c r="QT33" i="1"/>
  <c r="EH19" i="1"/>
  <c r="DI28" i="1"/>
  <c r="DI43" i="1"/>
  <c r="EH28" i="1"/>
  <c r="QT37" i="1"/>
  <c r="CX23" i="1"/>
  <c r="CX26" i="1"/>
  <c r="DI36" i="1"/>
  <c r="IR39" i="1"/>
  <c r="QT31" i="1"/>
  <c r="DT26" i="1"/>
  <c r="EH26" i="1"/>
  <c r="DT20" i="1"/>
  <c r="CX45" i="1"/>
  <c r="CX44" i="1"/>
  <c r="IR43" i="1"/>
  <c r="IR24" i="1"/>
  <c r="EH40" i="1"/>
  <c r="CX41" i="1"/>
  <c r="DI29" i="1"/>
  <c r="IR48" i="1"/>
  <c r="IR25" i="1"/>
  <c r="DT44" i="1"/>
  <c r="DT40" i="1"/>
  <c r="DT39" i="1"/>
  <c r="CX33" i="1"/>
  <c r="IR38" i="1"/>
  <c r="DT45" i="1"/>
  <c r="CX40" i="1"/>
  <c r="CX19" i="1"/>
  <c r="IR35" i="1"/>
  <c r="QT32" i="1"/>
  <c r="EH35" i="1"/>
  <c r="EH45" i="1"/>
  <c r="DT30" i="1"/>
  <c r="EH43" i="1"/>
  <c r="CX29" i="1"/>
  <c r="EH48" i="1"/>
  <c r="EH33" i="1"/>
  <c r="DT28" i="1"/>
  <c r="IR32" i="1"/>
  <c r="CX20" i="1"/>
  <c r="IR26" i="1"/>
  <c r="DT38" i="1"/>
  <c r="EH47" i="1"/>
  <c r="QT41" i="1"/>
  <c r="QT42" i="1"/>
  <c r="DI40" i="1"/>
  <c r="DT29" i="1"/>
  <c r="EH44" i="1"/>
  <c r="IR29" i="1"/>
  <c r="EH25" i="1"/>
  <c r="DT43" i="1"/>
  <c r="CX39" i="1"/>
  <c r="CX36" i="1"/>
  <c r="CX46" i="1"/>
  <c r="DI48" i="1"/>
  <c r="IR47" i="1"/>
  <c r="DI38" i="1"/>
  <c r="QT46" i="1"/>
  <c r="DT36" i="1"/>
  <c r="IR28" i="1"/>
  <c r="DT46" i="1"/>
  <c r="IR30" i="1"/>
  <c r="QT27" i="1"/>
  <c r="DT42" i="1"/>
  <c r="DT27" i="1"/>
  <c r="CX38" i="1"/>
  <c r="IR40" i="1"/>
  <c r="IR33" i="1"/>
  <c r="EH24" i="1"/>
  <c r="CX32" i="1"/>
  <c r="DT25" i="1"/>
  <c r="DT48" i="1"/>
  <c r="EH27" i="1"/>
  <c r="DI31" i="1"/>
  <c r="EH36" i="1"/>
  <c r="CX37" i="1"/>
  <c r="DI33" i="1"/>
  <c r="IR34" i="1"/>
  <c r="QT38" i="1"/>
  <c r="EH39" i="1"/>
  <c r="DI23" i="1"/>
  <c r="CX42" i="1"/>
  <c r="QT35" i="1"/>
  <c r="EH41" i="1"/>
  <c r="EH29" i="1"/>
  <c r="EH37" i="1"/>
  <c r="QT40" i="1"/>
  <c r="EH23" i="1"/>
  <c r="QT24" i="1"/>
  <c r="CX48" i="1"/>
  <c r="CX28" i="1"/>
  <c r="QT34" i="1"/>
  <c r="IR37" i="1"/>
  <c r="QT30" i="1"/>
  <c r="DI22" i="1"/>
  <c r="EH34" i="1"/>
  <c r="DT34" i="1"/>
  <c r="EH38" i="1"/>
  <c r="DI37" i="1"/>
  <c r="DI41" i="1"/>
  <c r="CX24" i="1"/>
  <c r="CX21" i="1"/>
  <c r="DT33" i="1"/>
  <c r="QT47" i="1"/>
  <c r="IR41" i="1"/>
  <c r="EH31" i="1"/>
  <c r="QT26" i="1"/>
  <c r="DI24" i="1"/>
  <c r="QT25" i="1"/>
  <c r="DI44" i="1"/>
  <c r="EH46" i="1"/>
  <c r="CX30" i="1"/>
  <c r="IR42" i="1"/>
  <c r="CX22" i="1"/>
  <c r="DI34" i="1"/>
  <c r="CX34" i="1"/>
  <c r="DT19" i="1"/>
  <c r="QT48" i="1"/>
  <c r="DT35" i="1"/>
  <c r="DI27" i="1"/>
  <c r="DI26" i="1"/>
  <c r="QT28" i="1"/>
  <c r="DI42" i="1"/>
  <c r="EH21" i="1"/>
  <c r="DI30" i="1"/>
  <c r="DI47" i="1"/>
  <c r="CX47" i="1"/>
  <c r="DI46" i="1"/>
  <c r="DT23" i="1"/>
  <c r="IR45" i="1"/>
  <c r="DI39" i="1"/>
  <c r="DI45" i="1"/>
  <c r="IR46" i="1"/>
  <c r="DT37" i="1"/>
  <c r="DT21" i="1"/>
  <c r="CH7" i="22" l="1"/>
  <c r="RC19" i="1"/>
  <c r="RD19" i="1" s="1"/>
  <c r="AK18" i="22"/>
  <c r="AK21" i="22"/>
  <c r="AK20" i="22"/>
  <c r="AK19" i="22"/>
  <c r="CJ17" i="22"/>
  <c r="IQ19" i="1"/>
  <c r="HG19" i="1"/>
  <c r="IB19" i="1"/>
  <c r="M35" i="22"/>
  <c r="N35" i="22" s="1"/>
  <c r="F22" i="22"/>
  <c r="G22" i="22" s="1"/>
  <c r="BN19" i="22"/>
  <c r="PQ31" i="1"/>
  <c r="PQ28" i="1"/>
  <c r="M27" i="22"/>
  <c r="N27" i="22" s="1"/>
  <c r="AA19" i="22"/>
  <c r="AB19" i="22" s="1"/>
  <c r="PQ43" i="1"/>
  <c r="BN31" i="22"/>
  <c r="AA20" i="22"/>
  <c r="AB20" i="22" s="1"/>
  <c r="BV36" i="22"/>
  <c r="AA12" i="22"/>
  <c r="AB12" i="22" s="1"/>
  <c r="BV26" i="22"/>
  <c r="F34" i="22"/>
  <c r="G34" i="22" s="1"/>
  <c r="AA26" i="22"/>
  <c r="AB26" i="22" s="1"/>
  <c r="QU44" i="1"/>
  <c r="CD32" i="22" s="1"/>
  <c r="QZ44" i="1"/>
  <c r="QW44" i="1"/>
  <c r="AA21" i="22"/>
  <c r="AB21" i="22" s="1"/>
  <c r="QW33" i="1"/>
  <c r="QU33" i="1"/>
  <c r="CD21" i="22" s="1"/>
  <c r="QZ33" i="1"/>
  <c r="QW46" i="1"/>
  <c r="QZ46" i="1"/>
  <c r="QU46" i="1"/>
  <c r="CD34" i="22" s="1"/>
  <c r="T30" i="22"/>
  <c r="U30" i="22" s="1"/>
  <c r="T16" i="22"/>
  <c r="U16" i="22" s="1"/>
  <c r="QU39" i="1"/>
  <c r="CD27" i="22" s="1"/>
  <c r="QW39" i="1"/>
  <c r="QZ39" i="1"/>
  <c r="AA34" i="22"/>
  <c r="AB34" i="22" s="1"/>
  <c r="AE34" i="22"/>
  <c r="QU30" i="1"/>
  <c r="CD18" i="22" s="1"/>
  <c r="QZ30" i="1"/>
  <c r="QW30" i="1"/>
  <c r="BN24" i="22"/>
  <c r="PQ36" i="1"/>
  <c r="QU48" i="1"/>
  <c r="CD36" i="22" s="1"/>
  <c r="QZ48" i="1"/>
  <c r="QW48" i="1"/>
  <c r="F32" i="22"/>
  <c r="G32" i="22" s="1"/>
  <c r="PQ42" i="1"/>
  <c r="QU47" i="1"/>
  <c r="CD35" i="22" s="1"/>
  <c r="QW47" i="1"/>
  <c r="QZ47" i="1"/>
  <c r="AA8" i="22"/>
  <c r="AB8" i="22" s="1"/>
  <c r="IS28" i="1"/>
  <c r="IS31" i="1"/>
  <c r="IS48" i="1"/>
  <c r="AA15" i="22"/>
  <c r="AB15" i="22" s="1"/>
  <c r="AL31" i="22"/>
  <c r="QW40" i="1"/>
  <c r="QZ40" i="1"/>
  <c r="AL36" i="22"/>
  <c r="AE19" i="22"/>
  <c r="AF19" i="22" s="1"/>
  <c r="IS24" i="1"/>
  <c r="T23" i="22"/>
  <c r="U23" i="22" s="1"/>
  <c r="T15" i="22"/>
  <c r="U15" i="22" s="1"/>
  <c r="F23" i="22"/>
  <c r="G23" i="22" s="1"/>
  <c r="AA11" i="22"/>
  <c r="AB11" i="22" s="1"/>
  <c r="AL30" i="22"/>
  <c r="M18" i="22"/>
  <c r="N18" i="22" s="1"/>
  <c r="QW26" i="1"/>
  <c r="QZ26" i="1"/>
  <c r="QU26" i="1"/>
  <c r="CD14" i="22" s="1"/>
  <c r="M9" i="22"/>
  <c r="N9" i="22" s="1"/>
  <c r="T21" i="22"/>
  <c r="U21" i="22" s="1"/>
  <c r="M16" i="22"/>
  <c r="N16" i="22" s="1"/>
  <c r="F33" i="22"/>
  <c r="G33" i="22" s="1"/>
  <c r="F30" i="22"/>
  <c r="G30" i="22" s="1"/>
  <c r="AE16" i="22"/>
  <c r="AF16" i="22" s="1"/>
  <c r="AE20" i="22"/>
  <c r="AF20" i="22" s="1"/>
  <c r="AA30" i="22"/>
  <c r="AB30" i="22" s="1"/>
  <c r="F7" i="22"/>
  <c r="G7" i="22" s="1"/>
  <c r="PQ45" i="1"/>
  <c r="BN33" i="22"/>
  <c r="QW38" i="1"/>
  <c r="QU38" i="1"/>
  <c r="CD26" i="22" s="1"/>
  <c r="QZ38" i="1"/>
  <c r="BV15" i="22"/>
  <c r="PQ27" i="1"/>
  <c r="T25" i="22"/>
  <c r="U25" i="22" s="1"/>
  <c r="M28" i="22"/>
  <c r="N28" i="22" s="1"/>
  <c r="AE13" i="22"/>
  <c r="AF13" i="22" s="1"/>
  <c r="T8" i="22"/>
  <c r="U8" i="22" s="1"/>
  <c r="F13" i="22"/>
  <c r="G13" i="22" s="1"/>
  <c r="QU35" i="1"/>
  <c r="CD23" i="22" s="1"/>
  <c r="QW35" i="1"/>
  <c r="QZ35" i="1"/>
  <c r="BN29" i="22"/>
  <c r="PQ41" i="1"/>
  <c r="QU42" i="1"/>
  <c r="CD30" i="22" s="1"/>
  <c r="QW42" i="1"/>
  <c r="QZ42" i="1"/>
  <c r="F15" i="22"/>
  <c r="G15" i="22" s="1"/>
  <c r="AL20" i="22"/>
  <c r="AM20" i="22" s="1"/>
  <c r="AL15" i="22"/>
  <c r="AM15" i="22" s="1"/>
  <c r="AL16" i="22"/>
  <c r="AM16" i="22" s="1"/>
  <c r="T34" i="22"/>
  <c r="U34" i="22" s="1"/>
  <c r="AL18" i="22"/>
  <c r="AM18" i="22" s="1"/>
  <c r="AE14" i="22"/>
  <c r="AF14" i="22" s="1"/>
  <c r="AA28" i="22"/>
  <c r="AB28" i="22" s="1"/>
  <c r="AE18" i="22"/>
  <c r="AF18" i="22" s="1"/>
  <c r="T20" i="22"/>
  <c r="U20" i="22" s="1"/>
  <c r="BN23" i="22"/>
  <c r="PQ35" i="1"/>
  <c r="PQ24" i="1"/>
  <c r="T19" i="22"/>
  <c r="U19" i="22" s="1"/>
  <c r="BV19" i="22"/>
  <c r="AA25" i="22"/>
  <c r="AB25" i="22" s="1"/>
  <c r="M34" i="22"/>
  <c r="N34" i="22" s="1"/>
  <c r="PQ30" i="1"/>
  <c r="IS39" i="1"/>
  <c r="IS40" i="1"/>
  <c r="IS44" i="1"/>
  <c r="F29" i="22"/>
  <c r="G29" i="22" s="1"/>
  <c r="IS43" i="1"/>
  <c r="BN21" i="22"/>
  <c r="PQ33" i="1"/>
  <c r="AL35" i="22"/>
  <c r="AL29" i="22"/>
  <c r="F11" i="22"/>
  <c r="G11" i="22" s="1"/>
  <c r="AL33" i="22"/>
  <c r="AQ31" i="22"/>
  <c r="AL23" i="22"/>
  <c r="AM23" i="22" s="1"/>
  <c r="AL34" i="22"/>
  <c r="M22" i="22"/>
  <c r="N22" i="22" s="1"/>
  <c r="T28" i="22"/>
  <c r="U28" i="22" s="1"/>
  <c r="QU27" i="1"/>
  <c r="CD15" i="22" s="1"/>
  <c r="QW27" i="1"/>
  <c r="QZ27" i="1"/>
  <c r="PQ37" i="1"/>
  <c r="M26" i="22"/>
  <c r="N26" i="22" s="1"/>
  <c r="M24" i="22"/>
  <c r="N24" i="22" s="1"/>
  <c r="T22" i="22"/>
  <c r="U22" i="22" s="1"/>
  <c r="F8" i="22"/>
  <c r="G8" i="22" s="1"/>
  <c r="BV30" i="22"/>
  <c r="F36" i="22"/>
  <c r="G36" i="22" s="1"/>
  <c r="M36" i="22"/>
  <c r="N36" i="22" s="1"/>
  <c r="BV20" i="22"/>
  <c r="AE26" i="22"/>
  <c r="AF26" i="22" s="1"/>
  <c r="T26" i="22"/>
  <c r="U26" i="22" s="1"/>
  <c r="F26" i="22"/>
  <c r="G26" i="22" s="1"/>
  <c r="AA23" i="22"/>
  <c r="AB23" i="22" s="1"/>
  <c r="AA22" i="22"/>
  <c r="AB22" i="22" s="1"/>
  <c r="T33" i="22"/>
  <c r="U33" i="22" s="1"/>
  <c r="F18" i="22"/>
  <c r="G18" i="22" s="1"/>
  <c r="BV32" i="22"/>
  <c r="BV29" i="22"/>
  <c r="T24" i="22"/>
  <c r="U24" i="22" s="1"/>
  <c r="AE30" i="22"/>
  <c r="T36" i="22"/>
  <c r="U36" i="22" s="1"/>
  <c r="AE21" i="22"/>
  <c r="AF21" i="22" s="1"/>
  <c r="BV21" i="22"/>
  <c r="AJ35" i="22"/>
  <c r="AJ36" i="22"/>
  <c r="M14" i="22"/>
  <c r="N14" i="22" s="1"/>
  <c r="AQ30" i="22"/>
  <c r="AE35" i="22"/>
  <c r="F20" i="22"/>
  <c r="G20" i="22" s="1"/>
  <c r="AE23" i="22"/>
  <c r="AF23" i="22" s="1"/>
  <c r="AJ29" i="22"/>
  <c r="PQ46" i="1"/>
  <c r="BN34" i="22"/>
  <c r="AJ12" i="22"/>
  <c r="AL21" i="22"/>
  <c r="AM21" i="22" s="1"/>
  <c r="AL28" i="22"/>
  <c r="T27" i="22"/>
  <c r="U27" i="22" s="1"/>
  <c r="AL14" i="22"/>
  <c r="AL27" i="22"/>
  <c r="AM27" i="22" s="1"/>
  <c r="AJ31" i="22"/>
  <c r="BV23" i="22"/>
  <c r="AA29" i="22"/>
  <c r="AB29" i="22" s="1"/>
  <c r="AE12" i="22"/>
  <c r="AE27" i="22"/>
  <c r="AF27" i="22" s="1"/>
  <c r="BV27" i="22"/>
  <c r="AJ33" i="22"/>
  <c r="AL17" i="22"/>
  <c r="AM17" i="22" s="1"/>
  <c r="AQ34" i="22"/>
  <c r="AL26" i="22"/>
  <c r="AM26" i="22" s="1"/>
  <c r="M19" i="22"/>
  <c r="N19" i="22" s="1"/>
  <c r="AL32" i="22"/>
  <c r="QW32" i="1"/>
  <c r="QU32" i="1"/>
  <c r="CD20" i="22" s="1"/>
  <c r="QZ32" i="1"/>
  <c r="AL12" i="22"/>
  <c r="PQ44" i="1"/>
  <c r="BN32" i="22"/>
  <c r="AA10" i="22"/>
  <c r="AB10" i="22" s="1"/>
  <c r="BV34" i="22"/>
  <c r="AA13" i="22"/>
  <c r="AB13" i="22" s="1"/>
  <c r="M11" i="22"/>
  <c r="N11" i="22" s="1"/>
  <c r="QU37" i="1"/>
  <c r="CD25" i="22" s="1"/>
  <c r="QZ37" i="1"/>
  <c r="QW37" i="1"/>
  <c r="M32" i="22"/>
  <c r="N32" i="22" s="1"/>
  <c r="BN20" i="22"/>
  <c r="PQ32" i="1"/>
  <c r="M25" i="22"/>
  <c r="N25" i="22" s="1"/>
  <c r="T32" i="22"/>
  <c r="U32" i="22" s="1"/>
  <c r="M21" i="22"/>
  <c r="N21" i="22" s="1"/>
  <c r="QU24" i="1"/>
  <c r="CD12" i="22" s="1"/>
  <c r="QZ24" i="1"/>
  <c r="QW24" i="1"/>
  <c r="PQ38" i="1"/>
  <c r="PQ47" i="1"/>
  <c r="BN35" i="22"/>
  <c r="AE17" i="22"/>
  <c r="AF17" i="22" s="1"/>
  <c r="AL24" i="22"/>
  <c r="AM24" i="22" s="1"/>
  <c r="AL22" i="22"/>
  <c r="AM22" i="22" s="1"/>
  <c r="AA33" i="22"/>
  <c r="AB33" i="22" s="1"/>
  <c r="AQ35" i="22"/>
  <c r="AA9" i="22"/>
  <c r="AB9" i="22" s="1"/>
  <c r="F12" i="22"/>
  <c r="G12" i="22" s="1"/>
  <c r="F17" i="22"/>
  <c r="G17" i="22" s="1"/>
  <c r="IS37" i="1"/>
  <c r="AQ13" i="22"/>
  <c r="AA17" i="22"/>
  <c r="AB17" i="22" s="1"/>
  <c r="AQ14" i="22"/>
  <c r="T13" i="22"/>
  <c r="U13" i="22" s="1"/>
  <c r="AQ36" i="22"/>
  <c r="AQ12" i="22"/>
  <c r="QW31" i="1"/>
  <c r="QU31" i="1"/>
  <c r="CD19" i="22" s="1"/>
  <c r="QZ31" i="1"/>
  <c r="AL13" i="22"/>
  <c r="M8" i="22"/>
  <c r="N8" i="22" s="1"/>
  <c r="BV31" i="22"/>
  <c r="M7" i="22"/>
  <c r="N7" i="22" s="1"/>
  <c r="BV35" i="22"/>
  <c r="PQ40" i="1"/>
  <c r="T31" i="22"/>
  <c r="U31" i="22" s="1"/>
  <c r="AL25" i="22"/>
  <c r="AM25" i="22" s="1"/>
  <c r="AQ33" i="22"/>
  <c r="AQ29" i="22"/>
  <c r="F9" i="22"/>
  <c r="G9" i="22" s="1"/>
  <c r="AJ30" i="22"/>
  <c r="AE22" i="22"/>
  <c r="AF22" i="22" s="1"/>
  <c r="F21" i="22"/>
  <c r="G21" i="22" s="1"/>
  <c r="T7" i="22"/>
  <c r="U7" i="22" s="1"/>
  <c r="QW25" i="1"/>
  <c r="QZ25" i="1"/>
  <c r="PQ39" i="1"/>
  <c r="BV33" i="22"/>
  <c r="M10" i="22"/>
  <c r="N10" i="22" s="1"/>
  <c r="AA7" i="22"/>
  <c r="AB7" i="22" s="1"/>
  <c r="T35" i="22"/>
  <c r="U35" i="22" s="1"/>
  <c r="M23" i="22"/>
  <c r="N23" i="22" s="1"/>
  <c r="AJ34" i="22"/>
  <c r="F27" i="22"/>
  <c r="G27" i="22" s="1"/>
  <c r="AJ32" i="22"/>
  <c r="AQ32" i="22"/>
  <c r="BN22" i="22"/>
  <c r="PQ34" i="1"/>
  <c r="M12" i="22"/>
  <c r="N12" i="22" s="1"/>
  <c r="M17" i="22"/>
  <c r="N17" i="22" s="1"/>
  <c r="T29" i="22"/>
  <c r="U29" i="22" s="1"/>
  <c r="F31" i="22"/>
  <c r="G31" i="22" s="1"/>
  <c r="PQ26" i="1"/>
  <c r="M20" i="22"/>
  <c r="N20" i="22" s="1"/>
  <c r="M13" i="22"/>
  <c r="N13" i="22" s="1"/>
  <c r="AA32" i="22"/>
  <c r="AB32" i="22" s="1"/>
  <c r="QZ41" i="1"/>
  <c r="QU41" i="1"/>
  <c r="CD29" i="22" s="1"/>
  <c r="QW41" i="1"/>
  <c r="M29" i="22"/>
  <c r="N29" i="22" s="1"/>
  <c r="F28" i="22"/>
  <c r="G28" i="22" s="1"/>
  <c r="BV22" i="22"/>
  <c r="IS30" i="1"/>
  <c r="IS33" i="1"/>
  <c r="T10" i="22"/>
  <c r="U10" i="22" s="1"/>
  <c r="IS38" i="1"/>
  <c r="IS42" i="1"/>
  <c r="AQ28" i="22"/>
  <c r="F16" i="22"/>
  <c r="G16" i="22" s="1"/>
  <c r="AL19" i="22"/>
  <c r="AM19" i="22" s="1"/>
  <c r="T17" i="22"/>
  <c r="U17" i="22" s="1"/>
  <c r="IS25" i="1"/>
  <c r="IS26" i="1"/>
  <c r="AE33" i="22"/>
  <c r="AA16" i="22"/>
  <c r="AB16" i="22" s="1"/>
  <c r="IS46" i="1"/>
  <c r="IS41" i="1"/>
  <c r="QU43" i="1"/>
  <c r="CD31" i="22" s="1"/>
  <c r="QZ43" i="1"/>
  <c r="QW43" i="1"/>
  <c r="IS34" i="1"/>
  <c r="F19" i="22"/>
  <c r="G19" i="22" s="1"/>
  <c r="F24" i="22"/>
  <c r="G24" i="22" s="1"/>
  <c r="IS27" i="1"/>
  <c r="AE24" i="22"/>
  <c r="AF24" i="22" s="1"/>
  <c r="F10" i="22"/>
  <c r="G10" i="22" s="1"/>
  <c r="QW34" i="1"/>
  <c r="QU34" i="1"/>
  <c r="CD22" i="22" s="1"/>
  <c r="QZ34" i="1"/>
  <c r="M31" i="22"/>
  <c r="N31" i="22" s="1"/>
  <c r="AA27" i="22"/>
  <c r="AB27" i="22" s="1"/>
  <c r="F25" i="22"/>
  <c r="G25" i="22" s="1"/>
  <c r="T9" i="22"/>
  <c r="U9" i="22" s="1"/>
  <c r="M33" i="22"/>
  <c r="N33" i="22" s="1"/>
  <c r="PQ25" i="1"/>
  <c r="AE32" i="22"/>
  <c r="IS29" i="1"/>
  <c r="AE36" i="22"/>
  <c r="T14" i="22"/>
  <c r="U14" i="22" s="1"/>
  <c r="AE31" i="22"/>
  <c r="T12" i="22"/>
  <c r="U12" i="22" s="1"/>
  <c r="M15" i="22"/>
  <c r="N15" i="22" s="1"/>
  <c r="AA14" i="22"/>
  <c r="AB14" i="22" s="1"/>
  <c r="M30" i="22"/>
  <c r="N30" i="22" s="1"/>
  <c r="AE29" i="22"/>
  <c r="F14" i="22"/>
  <c r="G14" i="22" s="1"/>
  <c r="AA31" i="22"/>
  <c r="AB31" i="22" s="1"/>
  <c r="AA18" i="22"/>
  <c r="AB18" i="22" s="1"/>
  <c r="IS36" i="1"/>
  <c r="QU28" i="1"/>
  <c r="CD16" i="22" s="1"/>
  <c r="QZ28" i="1"/>
  <c r="QW28" i="1"/>
  <c r="AA35" i="22"/>
  <c r="AB35" i="22" s="1"/>
  <c r="BV24" i="22"/>
  <c r="T11" i="22"/>
  <c r="U11" i="22" s="1"/>
  <c r="AE15" i="22"/>
  <c r="AF15" i="22" s="1"/>
  <c r="T18" i="22"/>
  <c r="U18" i="22" s="1"/>
  <c r="AE25" i="22"/>
  <c r="AF25" i="22" s="1"/>
  <c r="AE28" i="22"/>
  <c r="AF28" i="22" s="1"/>
  <c r="F35" i="22"/>
  <c r="G35" i="22" s="1"/>
  <c r="AA36" i="22"/>
  <c r="AB36" i="22" s="1"/>
  <c r="QZ45" i="1"/>
  <c r="QW45" i="1"/>
  <c r="QU45" i="1"/>
  <c r="CD33" i="22" s="1"/>
  <c r="BN36" i="22"/>
  <c r="PQ48" i="1"/>
  <c r="AA24" i="22"/>
  <c r="AB24" i="22" s="1"/>
  <c r="IS47" i="1"/>
  <c r="IS45" i="1"/>
  <c r="IS32" i="1"/>
  <c r="IS35" i="1"/>
  <c r="QV35" i="1"/>
  <c r="RE19" i="1"/>
  <c r="QT36" i="1"/>
  <c r="Q22" i="21"/>
  <c r="CJ7" i="22" l="1"/>
  <c r="CE7" i="22" s="1"/>
  <c r="CC17" i="22"/>
  <c r="CE17" i="22"/>
  <c r="AD32" i="22"/>
  <c r="AF32" i="22"/>
  <c r="AD31" i="22"/>
  <c r="AF31" i="22"/>
  <c r="AD35" i="22"/>
  <c r="AF35" i="22"/>
  <c r="AD29" i="22"/>
  <c r="AF29" i="22"/>
  <c r="AD34" i="22"/>
  <c r="AF34" i="22"/>
  <c r="AD30" i="22"/>
  <c r="AF30" i="22"/>
  <c r="AD33" i="22"/>
  <c r="AF33" i="22"/>
  <c r="AD12" i="22"/>
  <c r="AF12" i="22"/>
  <c r="AD36" i="22"/>
  <c r="AF36" i="22"/>
  <c r="AK29" i="22"/>
  <c r="AM29" i="22"/>
  <c r="AK14" i="22"/>
  <c r="AM14" i="22"/>
  <c r="AK34" i="22"/>
  <c r="AM34" i="22"/>
  <c r="AK28" i="22"/>
  <c r="AM28" i="22"/>
  <c r="AK33" i="22"/>
  <c r="AM33" i="22"/>
  <c r="AK12" i="22"/>
  <c r="AM12" i="22"/>
  <c r="AK30" i="22"/>
  <c r="AM30" i="22"/>
  <c r="AK36" i="22"/>
  <c r="AM36" i="22"/>
  <c r="AK13" i="22"/>
  <c r="AM13" i="22"/>
  <c r="AK32" i="22"/>
  <c r="AM32" i="22"/>
  <c r="AK35" i="22"/>
  <c r="AM35" i="22"/>
  <c r="AK31" i="22"/>
  <c r="AM31" i="22"/>
  <c r="BL29" i="22"/>
  <c r="BH29" i="22" s="1"/>
  <c r="AS33" i="22"/>
  <c r="IW45" i="1"/>
  <c r="IX45" i="1" s="1"/>
  <c r="AS24" i="22"/>
  <c r="IW36" i="1"/>
  <c r="IX36" i="1" s="1"/>
  <c r="AS17" i="22"/>
  <c r="IW29" i="1"/>
  <c r="IX29" i="1" s="1"/>
  <c r="AS22" i="22"/>
  <c r="IW34" i="1"/>
  <c r="IX34" i="1" s="1"/>
  <c r="AS29" i="22"/>
  <c r="IW41" i="1"/>
  <c r="IX41" i="1" s="1"/>
  <c r="AS14" i="22"/>
  <c r="AS21" i="22"/>
  <c r="IW33" i="1"/>
  <c r="IX33" i="1" s="1"/>
  <c r="AS19" i="22"/>
  <c r="IW31" i="1"/>
  <c r="IX31" i="1" s="1"/>
  <c r="AS35" i="22"/>
  <c r="IW47" i="1"/>
  <c r="IX47" i="1" s="1"/>
  <c r="AS15" i="22"/>
  <c r="IW27" i="1"/>
  <c r="IX27" i="1" s="1"/>
  <c r="AS34" i="22"/>
  <c r="IW46" i="1"/>
  <c r="IX46" i="1" s="1"/>
  <c r="AS13" i="22"/>
  <c r="AS30" i="22"/>
  <c r="IW42" i="1"/>
  <c r="IX42" i="1" s="1"/>
  <c r="AS18" i="22"/>
  <c r="IW30" i="1"/>
  <c r="IX30" i="1" s="1"/>
  <c r="AS25" i="22"/>
  <c r="IW37" i="1"/>
  <c r="IX37" i="1" s="1"/>
  <c r="AS32" i="22"/>
  <c r="IW44" i="1"/>
  <c r="IX44" i="1" s="1"/>
  <c r="AS16" i="22"/>
  <c r="IW28" i="1"/>
  <c r="IX28" i="1" s="1"/>
  <c r="AS20" i="22"/>
  <c r="IW32" i="1"/>
  <c r="IX32" i="1" s="1"/>
  <c r="AS23" i="22"/>
  <c r="IW35" i="1"/>
  <c r="IX35" i="1" s="1"/>
  <c r="AS26" i="22"/>
  <c r="IW38" i="1"/>
  <c r="IX38" i="1" s="1"/>
  <c r="AS28" i="22"/>
  <c r="IW40" i="1"/>
  <c r="IX40" i="1" s="1"/>
  <c r="AS31" i="22"/>
  <c r="IW43" i="1"/>
  <c r="IX43" i="1" s="1"/>
  <c r="AS27" i="22"/>
  <c r="IW39" i="1"/>
  <c r="IX39" i="1" s="1"/>
  <c r="AS12" i="22"/>
  <c r="IW24" i="1"/>
  <c r="IX24" i="1" s="1"/>
  <c r="AS36" i="22"/>
  <c r="IW48" i="1"/>
  <c r="IX48" i="1" s="1"/>
  <c r="AP14" i="22"/>
  <c r="AW19" i="22"/>
  <c r="AP19" i="22"/>
  <c r="AP26" i="22"/>
  <c r="AP34" i="22"/>
  <c r="AP35" i="22"/>
  <c r="AP18" i="22"/>
  <c r="AP20" i="22"/>
  <c r="AP36" i="22"/>
  <c r="AP32" i="22"/>
  <c r="AP28" i="22"/>
  <c r="AP33" i="22"/>
  <c r="AP25" i="22"/>
  <c r="AP17" i="22"/>
  <c r="AP27" i="22"/>
  <c r="AP21" i="22"/>
  <c r="AP30" i="22"/>
  <c r="AP22" i="22"/>
  <c r="AP29" i="22"/>
  <c r="AP15" i="22"/>
  <c r="AP31" i="22"/>
  <c r="AI15" i="22"/>
  <c r="AI31" i="22"/>
  <c r="AI32" i="22"/>
  <c r="AI22" i="22"/>
  <c r="AI27" i="22"/>
  <c r="AI26" i="22"/>
  <c r="AI18" i="22"/>
  <c r="AI34" i="22"/>
  <c r="AI28" i="22"/>
  <c r="AI35" i="22"/>
  <c r="AI36" i="22"/>
  <c r="AI33" i="22"/>
  <c r="AI30" i="22"/>
  <c r="AI14" i="22"/>
  <c r="AI25" i="22"/>
  <c r="AI29" i="22"/>
  <c r="AI19" i="22"/>
  <c r="IH19" i="1"/>
  <c r="QW36" i="1"/>
  <c r="QU36" i="1"/>
  <c r="CD24" i="22" s="1"/>
  <c r="QZ36" i="1"/>
  <c r="IW25" i="1"/>
  <c r="IW26" i="1"/>
  <c r="II19" i="1"/>
  <c r="QX25" i="1"/>
  <c r="IT31" i="1"/>
  <c r="RA39" i="1"/>
  <c r="PR30" i="1"/>
  <c r="IT46" i="1"/>
  <c r="QV48" i="1"/>
  <c r="IY35" i="1"/>
  <c r="IT42" i="1"/>
  <c r="QV33" i="1"/>
  <c r="RA48" i="1"/>
  <c r="QX24" i="1"/>
  <c r="IY30" i="1"/>
  <c r="QV32" i="1"/>
  <c r="IT41" i="1"/>
  <c r="IY46" i="1"/>
  <c r="PR37" i="1"/>
  <c r="IY44" i="1"/>
  <c r="IY41" i="1"/>
  <c r="IT32" i="1"/>
  <c r="IY43" i="1"/>
  <c r="QX47" i="1"/>
  <c r="QV31" i="1"/>
  <c r="IY29" i="1"/>
  <c r="QV26" i="1"/>
  <c r="IY45" i="1"/>
  <c r="QX35" i="1"/>
  <c r="RA24" i="1"/>
  <c r="PR45" i="1"/>
  <c r="PR24" i="1"/>
  <c r="QV25" i="1"/>
  <c r="PR48" i="1"/>
  <c r="QX31" i="1"/>
  <c r="QX44" i="1"/>
  <c r="PR32" i="1"/>
  <c r="PR26" i="1"/>
  <c r="IT43" i="1"/>
  <c r="IT45" i="1"/>
  <c r="IY24" i="1"/>
  <c r="IT29" i="1"/>
  <c r="IT34" i="1"/>
  <c r="RA32" i="1"/>
  <c r="IY47" i="1"/>
  <c r="RA47" i="1"/>
  <c r="QX26" i="1"/>
  <c r="IY32" i="1"/>
  <c r="QX48" i="1"/>
  <c r="IY27" i="1"/>
  <c r="QV41" i="1"/>
  <c r="QX34" i="1"/>
  <c r="QV28" i="1"/>
  <c r="QV38" i="1"/>
  <c r="QV46" i="1"/>
  <c r="PR40" i="1"/>
  <c r="RA26" i="1"/>
  <c r="IT40" i="1"/>
  <c r="QV34" i="1"/>
  <c r="PR39" i="1"/>
  <c r="PR31" i="1"/>
  <c r="IT37" i="1"/>
  <c r="IT36" i="1"/>
  <c r="PR27" i="1"/>
  <c r="IY37" i="1"/>
  <c r="QX45" i="1"/>
  <c r="PR33" i="1"/>
  <c r="PR46" i="1"/>
  <c r="QX41" i="1"/>
  <c r="QV42" i="1"/>
  <c r="RA46" i="1"/>
  <c r="IT38" i="1"/>
  <c r="RA36" i="1"/>
  <c r="QV40" i="1"/>
  <c r="PR43" i="1"/>
  <c r="RA34" i="1"/>
  <c r="Q23" i="21"/>
  <c r="RA41" i="1"/>
  <c r="RA37" i="1"/>
  <c r="RA45" i="1"/>
  <c r="IT28" i="1"/>
  <c r="QV37" i="1"/>
  <c r="QX37" i="1"/>
  <c r="RA42" i="1"/>
  <c r="IY42" i="1"/>
  <c r="IT48" i="1"/>
  <c r="RA33" i="1"/>
  <c r="IT47" i="1"/>
  <c r="PR36" i="1"/>
  <c r="RA30" i="1"/>
  <c r="PR34" i="1"/>
  <c r="IT24" i="1"/>
  <c r="QV47" i="1"/>
  <c r="RA38" i="1"/>
  <c r="IY33" i="1"/>
  <c r="QX27" i="1"/>
  <c r="IT44" i="1"/>
  <c r="QX39" i="1"/>
  <c r="IY39" i="1"/>
  <c r="RA28" i="1"/>
  <c r="QX40" i="1"/>
  <c r="IT25" i="1"/>
  <c r="PR25" i="1"/>
  <c r="PR41" i="1"/>
  <c r="Q24" i="21"/>
  <c r="IT35" i="1"/>
  <c r="IY28" i="1"/>
  <c r="IT33" i="1"/>
  <c r="IT30" i="1"/>
  <c r="RA43" i="1"/>
  <c r="QV44" i="1"/>
  <c r="QX28" i="1"/>
  <c r="QV30" i="1"/>
  <c r="QV36" i="1"/>
  <c r="PR38" i="1"/>
  <c r="PR28" i="1"/>
  <c r="QX32" i="1"/>
  <c r="IR19" i="1"/>
  <c r="RA31" i="1"/>
  <c r="PR35" i="1"/>
  <c r="IY38" i="1"/>
  <c r="IT27" i="1"/>
  <c r="RA25" i="1"/>
  <c r="IY31" i="1"/>
  <c r="QX42" i="1"/>
  <c r="PR47" i="1"/>
  <c r="RA27" i="1"/>
  <c r="IY48" i="1"/>
  <c r="QX46" i="1"/>
  <c r="QX30" i="1"/>
  <c r="PR44" i="1"/>
  <c r="IT39" i="1"/>
  <c r="RA40" i="1"/>
  <c r="IY40" i="1"/>
  <c r="RA35" i="1"/>
  <c r="QV24" i="1"/>
  <c r="QV43" i="1"/>
  <c r="QV27" i="1"/>
  <c r="IY34" i="1"/>
  <c r="QV39" i="1"/>
  <c r="IT26" i="1"/>
  <c r="QX43" i="1"/>
  <c r="RA44" i="1"/>
  <c r="QX38" i="1"/>
  <c r="IY36" i="1"/>
  <c r="PR42" i="1"/>
  <c r="QX33" i="1"/>
  <c r="Q25" i="21"/>
  <c r="QV45" i="1"/>
  <c r="QX36" i="1"/>
  <c r="CC7" i="22" l="1"/>
  <c r="IL19" i="1"/>
  <c r="IJ19" i="1" s="1"/>
  <c r="AW14" i="22"/>
  <c r="AW13" i="22"/>
  <c r="IX26" i="1"/>
  <c r="IX25" i="1"/>
  <c r="BL20" i="22"/>
  <c r="BH20" i="22" s="1"/>
  <c r="BL22" i="22"/>
  <c r="BH22" i="22" s="1"/>
  <c r="BL30" i="22"/>
  <c r="BH30" i="22" s="1"/>
  <c r="BL35" i="22"/>
  <c r="BH35" i="22" s="1"/>
  <c r="BL24" i="22"/>
  <c r="BH24" i="22" s="1"/>
  <c r="BL17" i="22"/>
  <c r="BH17" i="22" s="1"/>
  <c r="BL14" i="22"/>
  <c r="BH14" i="22" s="1"/>
  <c r="BL13" i="22"/>
  <c r="BH13" i="22" s="1"/>
  <c r="BL27" i="22"/>
  <c r="BH27" i="22" s="1"/>
  <c r="BL31" i="22"/>
  <c r="BH31" i="22" s="1"/>
  <c r="BL21" i="22"/>
  <c r="BH21" i="22" s="1"/>
  <c r="BL26" i="22"/>
  <c r="BH26" i="22" s="1"/>
  <c r="BL28" i="22"/>
  <c r="BH28" i="22" s="1"/>
  <c r="BL8" i="22"/>
  <c r="BH8" i="22" s="1"/>
  <c r="BL12" i="22"/>
  <c r="BH12" i="22" s="1"/>
  <c r="BL15" i="22"/>
  <c r="BH15" i="22" s="1"/>
  <c r="BL16" i="22"/>
  <c r="BH16" i="22" s="1"/>
  <c r="BL9" i="22"/>
  <c r="BH9" i="22" s="1"/>
  <c r="BL11" i="22"/>
  <c r="BH11" i="22" s="1"/>
  <c r="BL34" i="22"/>
  <c r="BH34" i="22" s="1"/>
  <c r="BL23" i="22"/>
  <c r="BH23" i="22" s="1"/>
  <c r="BL36" i="22"/>
  <c r="BH36" i="22" s="1"/>
  <c r="BL32" i="22"/>
  <c r="BH32" i="22" s="1"/>
  <c r="BL10" i="22"/>
  <c r="BH10" i="22" s="1"/>
  <c r="BL19" i="22"/>
  <c r="BH19" i="22" s="1"/>
  <c r="BL25" i="22"/>
  <c r="BH25" i="22" s="1"/>
  <c r="BL33" i="22"/>
  <c r="BH33" i="22" s="1"/>
  <c r="BL18" i="22"/>
  <c r="BH18" i="22" s="1"/>
  <c r="BL7" i="22"/>
  <c r="BH7" i="22" s="1"/>
  <c r="AW24" i="22"/>
  <c r="AW25" i="22"/>
  <c r="AW21" i="22"/>
  <c r="AW33" i="22"/>
  <c r="AW29" i="22"/>
  <c r="AW18" i="22"/>
  <c r="AW17" i="22"/>
  <c r="PO42" i="1"/>
  <c r="AW34" i="22"/>
  <c r="AW12" i="22"/>
  <c r="AW15" i="22"/>
  <c r="AW20" i="22"/>
  <c r="AW26" i="22"/>
  <c r="AW32" i="22"/>
  <c r="RC30" i="1"/>
  <c r="RD30" i="1" s="1"/>
  <c r="RC37" i="1"/>
  <c r="RD37" i="1" s="1"/>
  <c r="RC26" i="1"/>
  <c r="RD26" i="1" s="1"/>
  <c r="RC41" i="1"/>
  <c r="RD41" i="1" s="1"/>
  <c r="RC28" i="1"/>
  <c r="RD28" i="1" s="1"/>
  <c r="RC33" i="1"/>
  <c r="RD33" i="1" s="1"/>
  <c r="RC24" i="1"/>
  <c r="RD24" i="1" s="1"/>
  <c r="RC31" i="1"/>
  <c r="RD31" i="1" s="1"/>
  <c r="RC27" i="1"/>
  <c r="RD27" i="1" s="1"/>
  <c r="RC34" i="1"/>
  <c r="RD34" i="1" s="1"/>
  <c r="RC42" i="1"/>
  <c r="RD42" i="1" s="1"/>
  <c r="RC36" i="1"/>
  <c r="RD36" i="1" s="1"/>
  <c r="RC38" i="1"/>
  <c r="RD38" i="1" s="1"/>
  <c r="RC43" i="1"/>
  <c r="RD43" i="1" s="1"/>
  <c r="RC32" i="1"/>
  <c r="RD32" i="1" s="1"/>
  <c r="RC47" i="1"/>
  <c r="RD47" i="1" s="1"/>
  <c r="RC44" i="1"/>
  <c r="RD44" i="1" s="1"/>
  <c r="RC45" i="1"/>
  <c r="RD45" i="1" s="1"/>
  <c r="RC46" i="1"/>
  <c r="RD46" i="1" s="1"/>
  <c r="RC39" i="1"/>
  <c r="RD39" i="1" s="1"/>
  <c r="RC35" i="1"/>
  <c r="RD35" i="1" s="1"/>
  <c r="RC48" i="1"/>
  <c r="RD48" i="1" s="1"/>
  <c r="AW22" i="22"/>
  <c r="AW30" i="22"/>
  <c r="AW31" i="22"/>
  <c r="AW28" i="22"/>
  <c r="AW16" i="22"/>
  <c r="AW35" i="22"/>
  <c r="AW27" i="22"/>
  <c r="AW23" i="22"/>
  <c r="AW36" i="22"/>
  <c r="AX12" i="22"/>
  <c r="AX31" i="22"/>
  <c r="AX26" i="22"/>
  <c r="AX20" i="22"/>
  <c r="AX32" i="22"/>
  <c r="AX18" i="22"/>
  <c r="AX15" i="22"/>
  <c r="AX19" i="22"/>
  <c r="AX22" i="22"/>
  <c r="AX24" i="22"/>
  <c r="AX36" i="22"/>
  <c r="AX27" i="22"/>
  <c r="AX28" i="22"/>
  <c r="AX23" i="22"/>
  <c r="AX16" i="22"/>
  <c r="AX25" i="22"/>
  <c r="AX30" i="22"/>
  <c r="AX34" i="22"/>
  <c r="AX35" i="22"/>
  <c r="AX21" i="22"/>
  <c r="AX29" i="22"/>
  <c r="AX17" i="22"/>
  <c r="AX33" i="22"/>
  <c r="PO39" i="1"/>
  <c r="PO38" i="1"/>
  <c r="QH25" i="1"/>
  <c r="QP25" i="1" s="1"/>
  <c r="QQ25" i="1" s="1"/>
  <c r="QH26" i="1"/>
  <c r="QH24" i="1"/>
  <c r="QH37" i="1"/>
  <c r="PS45" i="1"/>
  <c r="BQ33" i="22" s="1"/>
  <c r="BR33" i="22" s="1"/>
  <c r="PS30" i="1"/>
  <c r="BQ18" i="22" s="1"/>
  <c r="PS36" i="1"/>
  <c r="BQ24" i="22" s="1"/>
  <c r="BR24" i="22" s="1"/>
  <c r="PS26" i="1"/>
  <c r="BQ14" i="22" s="1"/>
  <c r="PS47" i="1"/>
  <c r="BQ35" i="22" s="1"/>
  <c r="BR35" i="22" s="1"/>
  <c r="PS44" i="1"/>
  <c r="BQ32" i="22" s="1"/>
  <c r="BR32" i="22" s="1"/>
  <c r="PS33" i="1"/>
  <c r="BQ21" i="22" s="1"/>
  <c r="BR21" i="22" s="1"/>
  <c r="PS35" i="1"/>
  <c r="BQ23" i="22" s="1"/>
  <c r="BR23" i="22" s="1"/>
  <c r="PS48" i="1"/>
  <c r="BQ36" i="22" s="1"/>
  <c r="BR36" i="22" s="1"/>
  <c r="PS41" i="1"/>
  <c r="BQ29" i="22" s="1"/>
  <c r="BR29" i="22" s="1"/>
  <c r="PS40" i="1"/>
  <c r="BQ28" i="22" s="1"/>
  <c r="PS25" i="1"/>
  <c r="BQ13" i="22" s="1"/>
  <c r="PS46" i="1"/>
  <c r="BQ34" i="22" s="1"/>
  <c r="BR34" i="22" s="1"/>
  <c r="PS27" i="1"/>
  <c r="BQ15" i="22" s="1"/>
  <c r="PS24" i="1"/>
  <c r="BQ12" i="22" s="1"/>
  <c r="PS31" i="1"/>
  <c r="BQ19" i="22" s="1"/>
  <c r="BR19" i="22" s="1"/>
  <c r="PS32" i="1"/>
  <c r="BQ20" i="22" s="1"/>
  <c r="BR20" i="22" s="1"/>
  <c r="PS34" i="1"/>
  <c r="BQ22" i="22" s="1"/>
  <c r="BR22" i="22" s="1"/>
  <c r="PS28" i="1"/>
  <c r="BQ16" i="22" s="1"/>
  <c r="PS42" i="1"/>
  <c r="BQ30" i="22" s="1"/>
  <c r="PS37" i="1"/>
  <c r="BQ25" i="22" s="1"/>
  <c r="PS39" i="1"/>
  <c r="BQ27" i="22" s="1"/>
  <c r="PS38" i="1"/>
  <c r="BQ26" i="22" s="1"/>
  <c r="PS43" i="1"/>
  <c r="BQ31" i="22" s="1"/>
  <c r="BR31" i="22" s="1"/>
  <c r="PO26" i="1"/>
  <c r="PO25" i="1"/>
  <c r="PO24" i="1"/>
  <c r="PO37" i="1"/>
  <c r="IM19" i="1"/>
  <c r="HS19" i="1"/>
  <c r="HW19" i="1" s="1"/>
  <c r="QU25" i="1"/>
  <c r="CD13" i="22" s="1"/>
  <c r="IU19" i="1"/>
  <c r="IS19" i="1" s="1"/>
  <c r="AU33" i="22"/>
  <c r="AU20" i="22"/>
  <c r="AU35" i="22"/>
  <c r="BP36" i="22"/>
  <c r="CA24" i="22"/>
  <c r="CF16" i="22"/>
  <c r="AG32" i="22"/>
  <c r="RB34" i="1"/>
  <c r="CI22" i="22" s="1"/>
  <c r="CA28" i="22"/>
  <c r="BY12" i="22"/>
  <c r="QY41" i="1"/>
  <c r="CG29" i="22" s="1"/>
  <c r="CH29" i="22" s="1"/>
  <c r="BY33" i="22"/>
  <c r="BZ33" i="22" s="1"/>
  <c r="BP27" i="22"/>
  <c r="AG22" i="22"/>
  <c r="AN25" i="22"/>
  <c r="BS28" i="22"/>
  <c r="BX35" i="22"/>
  <c r="BY31" i="22"/>
  <c r="BZ31" i="22" s="1"/>
  <c r="AU25" i="22"/>
  <c r="BS35" i="22"/>
  <c r="BS26" i="22"/>
  <c r="QY37" i="1"/>
  <c r="CG25" i="22" s="1"/>
  <c r="CH25" i="22" s="1"/>
  <c r="BP32" i="22"/>
  <c r="RB32" i="1"/>
  <c r="CI20" i="22" s="1"/>
  <c r="AN26" i="22"/>
  <c r="QY36" i="1"/>
  <c r="CG24" i="22" s="1"/>
  <c r="CH24" i="22" s="1"/>
  <c r="BX23" i="22"/>
  <c r="CA23" i="22"/>
  <c r="AN27" i="22"/>
  <c r="AN14" i="22"/>
  <c r="AN28" i="22"/>
  <c r="AN21" i="22"/>
  <c r="AG30" i="22"/>
  <c r="BY29" i="22"/>
  <c r="BZ29" i="22" s="1"/>
  <c r="BY20" i="22"/>
  <c r="BZ20" i="22" s="1"/>
  <c r="CA30" i="22"/>
  <c r="AN34" i="22"/>
  <c r="AN23" i="22"/>
  <c r="AP23" i="22" s="1"/>
  <c r="AN33" i="22"/>
  <c r="AN29" i="22"/>
  <c r="AN35" i="22"/>
  <c r="BP21" i="22"/>
  <c r="AU27" i="22"/>
  <c r="BS18" i="22"/>
  <c r="BX19" i="22"/>
  <c r="CA19" i="22"/>
  <c r="BP12" i="22"/>
  <c r="AG18" i="22"/>
  <c r="AG14" i="22"/>
  <c r="RB35" i="1"/>
  <c r="CI23" i="22" s="1"/>
  <c r="CA15" i="22"/>
  <c r="BS33" i="22"/>
  <c r="RB26" i="1"/>
  <c r="CI14" i="22" s="1"/>
  <c r="AN30" i="22"/>
  <c r="CF28" i="22"/>
  <c r="AN31" i="22"/>
  <c r="AU19" i="22"/>
  <c r="AU16" i="22"/>
  <c r="CF35" i="22"/>
  <c r="QY30" i="1"/>
  <c r="CG18" i="22" s="1"/>
  <c r="CH18" i="22" s="1"/>
  <c r="AG34" i="22"/>
  <c r="RB39" i="1"/>
  <c r="CI27" i="22" s="1"/>
  <c r="RB46" i="1"/>
  <c r="CI34" i="22" s="1"/>
  <c r="QY44" i="1"/>
  <c r="CG32" i="22" s="1"/>
  <c r="CH32" i="22" s="1"/>
  <c r="BY36" i="22"/>
  <c r="BZ36" i="22" s="1"/>
  <c r="BS19" i="22"/>
  <c r="RB45" i="1"/>
  <c r="CI33" i="22" s="1"/>
  <c r="AG29" i="22"/>
  <c r="AU17" i="22"/>
  <c r="BX18" i="22"/>
  <c r="AU22" i="22"/>
  <c r="CF31" i="22"/>
  <c r="AU34" i="22"/>
  <c r="AU14" i="22"/>
  <c r="AU13" i="22"/>
  <c r="BX28" i="22"/>
  <c r="AU30" i="22"/>
  <c r="CA12" i="22"/>
  <c r="CA22" i="22"/>
  <c r="BP14" i="22"/>
  <c r="BX33" i="22"/>
  <c r="BS27" i="22"/>
  <c r="BN28" i="22"/>
  <c r="CA35" i="22"/>
  <c r="CA31" i="22"/>
  <c r="AN22" i="22"/>
  <c r="AN24" i="22"/>
  <c r="AP24" i="22" s="1"/>
  <c r="BP26" i="22"/>
  <c r="QY24" i="1"/>
  <c r="CG12" i="22" s="1"/>
  <c r="CH12" i="22" s="1"/>
  <c r="BP20" i="22"/>
  <c r="RB37" i="1"/>
  <c r="CI25" i="22" s="1"/>
  <c r="BX34" i="22"/>
  <c r="BY34" i="22"/>
  <c r="BZ34" i="22" s="1"/>
  <c r="BY27" i="22"/>
  <c r="CF24" i="22"/>
  <c r="RB36" i="1"/>
  <c r="CI24" i="22" s="1"/>
  <c r="BY23" i="22"/>
  <c r="BZ23" i="22" s="1"/>
  <c r="BP34" i="22"/>
  <c r="BX21" i="22"/>
  <c r="BY21" i="22"/>
  <c r="BZ21" i="22" s="1"/>
  <c r="BX29" i="22"/>
  <c r="CA29" i="22"/>
  <c r="CA14" i="22"/>
  <c r="BX30" i="22"/>
  <c r="CF15" i="22"/>
  <c r="BS21" i="22"/>
  <c r="AU31" i="22"/>
  <c r="AU32" i="22"/>
  <c r="AU28" i="22"/>
  <c r="BP18" i="22"/>
  <c r="BP23" i="22"/>
  <c r="CF30" i="22"/>
  <c r="BS29" i="22"/>
  <c r="AG13" i="22"/>
  <c r="AI13" i="22" s="1"/>
  <c r="BN15" i="22"/>
  <c r="CF26" i="22"/>
  <c r="QY38" i="1"/>
  <c r="CG26" i="22" s="1"/>
  <c r="CH26" i="22" s="1"/>
  <c r="BX16" i="22"/>
  <c r="AU36" i="22"/>
  <c r="RB47" i="1"/>
  <c r="CI35" i="22" s="1"/>
  <c r="BP30" i="22"/>
  <c r="BS30" i="22"/>
  <c r="CF36" i="22"/>
  <c r="BP24" i="22"/>
  <c r="BX13" i="22"/>
  <c r="CF34" i="22"/>
  <c r="QY46" i="1"/>
  <c r="CG34" i="22" s="1"/>
  <c r="CH34" i="22" s="1"/>
  <c r="RB44" i="1"/>
  <c r="CI32" i="22" s="1"/>
  <c r="CA26" i="22"/>
  <c r="BY25" i="22"/>
  <c r="BP16" i="22"/>
  <c r="BP19" i="22"/>
  <c r="AU23" i="22"/>
  <c r="CF33" i="22"/>
  <c r="AG25" i="22"/>
  <c r="AG15" i="22"/>
  <c r="BS36" i="22"/>
  <c r="AG28" i="22"/>
  <c r="QY28" i="1"/>
  <c r="CG16" i="22" s="1"/>
  <c r="CH16" i="22" s="1"/>
  <c r="AU24" i="22"/>
  <c r="AG31" i="22"/>
  <c r="AG36" i="22"/>
  <c r="BP13" i="22"/>
  <c r="BY18" i="22"/>
  <c r="BV18" i="22"/>
  <c r="QY34" i="1"/>
  <c r="CG22" i="22" s="1"/>
  <c r="CH22" i="22" s="1"/>
  <c r="AU15" i="22"/>
  <c r="QY43" i="1"/>
  <c r="CG31" i="22" s="1"/>
  <c r="CH31" i="22" s="1"/>
  <c r="AU29" i="22"/>
  <c r="AG33" i="22"/>
  <c r="BY28" i="22"/>
  <c r="BV28" i="22"/>
  <c r="BX12" i="22"/>
  <c r="AU26" i="22"/>
  <c r="AU21" i="22"/>
  <c r="AU18" i="22"/>
  <c r="BY22" i="22"/>
  <c r="BZ22" i="22" s="1"/>
  <c r="CF29" i="22"/>
  <c r="RB41" i="1"/>
  <c r="CI29" i="22" s="1"/>
  <c r="BS22" i="22"/>
  <c r="RB25" i="1"/>
  <c r="CI13" i="22" s="1"/>
  <c r="BP28" i="22"/>
  <c r="AN13" i="22"/>
  <c r="AP13" i="22" s="1"/>
  <c r="CF19" i="22"/>
  <c r="QY31" i="1"/>
  <c r="CG19" i="22" s="1"/>
  <c r="CH19" i="22" s="1"/>
  <c r="RB24" i="1"/>
  <c r="CI12" i="22" s="1"/>
  <c r="BS32" i="22"/>
  <c r="AN12" i="22"/>
  <c r="AP12" i="22" s="1"/>
  <c r="CF20" i="22"/>
  <c r="QY32" i="1"/>
  <c r="CG20" i="22" s="1"/>
  <c r="CH20" i="22" s="1"/>
  <c r="AN17" i="22"/>
  <c r="CA27" i="22"/>
  <c r="AG27" i="22"/>
  <c r="AG12" i="22"/>
  <c r="AI12" i="22" s="1"/>
  <c r="AG21" i="22"/>
  <c r="AI21" i="22" s="1"/>
  <c r="BY32" i="22"/>
  <c r="BZ32" i="22" s="1"/>
  <c r="AG26" i="22"/>
  <c r="BX20" i="22"/>
  <c r="CA20" i="22"/>
  <c r="BP25" i="22"/>
  <c r="RB27" i="1"/>
  <c r="CI15" i="22" s="1"/>
  <c r="BY19" i="22"/>
  <c r="BZ19" i="22" s="1"/>
  <c r="BS12" i="22"/>
  <c r="AN18" i="22"/>
  <c r="AN16" i="22"/>
  <c r="AP16" i="22" s="1"/>
  <c r="AN15" i="22"/>
  <c r="AN20" i="22"/>
  <c r="RB42" i="1"/>
  <c r="CI30" i="22" s="1"/>
  <c r="QY35" i="1"/>
  <c r="CG23" i="22" s="1"/>
  <c r="CH23" i="22" s="1"/>
  <c r="BP15" i="22"/>
  <c r="RB38" i="1"/>
  <c r="CI26" i="22" s="1"/>
  <c r="AG16" i="22"/>
  <c r="AI16" i="22" s="1"/>
  <c r="CF14" i="22"/>
  <c r="QY26" i="1"/>
  <c r="CG14" i="22" s="1"/>
  <c r="CH14" i="22" s="1"/>
  <c r="AG19" i="22"/>
  <c r="RB40" i="1"/>
  <c r="CI28" i="22" s="1"/>
  <c r="CA16" i="22"/>
  <c r="QY47" i="1"/>
  <c r="CG35" i="22" s="1"/>
  <c r="CH35" i="22" s="1"/>
  <c r="QY48" i="1"/>
  <c r="CG36" i="22" s="1"/>
  <c r="CH36" i="22" s="1"/>
  <c r="BS24" i="22"/>
  <c r="RB30" i="1"/>
  <c r="CI18" i="22" s="1"/>
  <c r="BY13" i="22"/>
  <c r="QY39" i="1"/>
  <c r="CG27" i="22" s="1"/>
  <c r="CH27" i="22" s="1"/>
  <c r="CF21" i="22"/>
  <c r="QY33" i="1"/>
  <c r="CG21" i="22" s="1"/>
  <c r="CH21" i="22" s="1"/>
  <c r="CF32" i="22"/>
  <c r="BY26" i="22"/>
  <c r="BP31" i="22"/>
  <c r="BX25" i="22"/>
  <c r="BN16" i="22"/>
  <c r="QY45" i="1"/>
  <c r="CG33" i="22" s="1"/>
  <c r="CH33" i="22" s="1"/>
  <c r="BX24" i="22"/>
  <c r="BY24" i="22"/>
  <c r="BZ24" i="22" s="1"/>
  <c r="RB28" i="1"/>
  <c r="CI16" i="22" s="1"/>
  <c r="BS13" i="22"/>
  <c r="CA18" i="22"/>
  <c r="CF22" i="22"/>
  <c r="AG24" i="22"/>
  <c r="AI24" i="22" s="1"/>
  <c r="RB43" i="1"/>
  <c r="CI31" i="22" s="1"/>
  <c r="AN19" i="22"/>
  <c r="BS14" i="22"/>
  <c r="BP22" i="22"/>
  <c r="CA33" i="22"/>
  <c r="CF13" i="22"/>
  <c r="QY25" i="1"/>
  <c r="CG13" i="22" s="1"/>
  <c r="BY35" i="22"/>
  <c r="BZ35" i="22" s="1"/>
  <c r="BX31" i="22"/>
  <c r="RB31" i="1"/>
  <c r="CI19" i="22" s="1"/>
  <c r="AG17" i="22"/>
  <c r="AI17" i="22" s="1"/>
  <c r="BP35" i="22"/>
  <c r="CF12" i="22"/>
  <c r="BS20" i="22"/>
  <c r="CF25" i="22"/>
  <c r="CA34" i="22"/>
  <c r="AN32" i="22"/>
  <c r="BX27" i="22"/>
  <c r="BS34" i="22"/>
  <c r="AG23" i="22"/>
  <c r="AI23" i="22" s="1"/>
  <c r="AG35" i="22"/>
  <c r="CA21" i="22"/>
  <c r="BX32" i="22"/>
  <c r="CA32" i="22"/>
  <c r="BX14" i="22"/>
  <c r="BY14" i="22"/>
  <c r="BY30" i="22"/>
  <c r="BZ30" i="22" s="1"/>
  <c r="BS25" i="22"/>
  <c r="QY27" i="1"/>
  <c r="CG15" i="22" s="1"/>
  <c r="CH15" i="22" s="1"/>
  <c r="BN18" i="22"/>
  <c r="BS23" i="22"/>
  <c r="QY42" i="1"/>
  <c r="CG30" i="22" s="1"/>
  <c r="CH30" i="22" s="1"/>
  <c r="BP29" i="22"/>
  <c r="CF23" i="22"/>
  <c r="BS15" i="22"/>
  <c r="BX15" i="22"/>
  <c r="BY15" i="22"/>
  <c r="BZ15" i="22" s="1"/>
  <c r="BP33" i="22"/>
  <c r="AG20" i="22"/>
  <c r="AI20" i="22" s="1"/>
  <c r="AU12" i="22"/>
  <c r="AN36" i="22"/>
  <c r="QY40" i="1"/>
  <c r="CG28" i="22" s="1"/>
  <c r="QU40" i="1"/>
  <c r="CD28" i="22" s="1"/>
  <c r="CH28" i="22" s="1"/>
  <c r="BY16" i="22"/>
  <c r="BV16" i="22"/>
  <c r="RB48" i="1"/>
  <c r="CI36" i="22" s="1"/>
  <c r="CF18" i="22"/>
  <c r="CA13" i="22"/>
  <c r="CF27" i="22"/>
  <c r="RB33" i="1"/>
  <c r="CI21" i="22" s="1"/>
  <c r="BX26" i="22"/>
  <c r="BX36" i="22"/>
  <c r="CA36" i="22"/>
  <c r="BS31" i="22"/>
  <c r="CA25" i="22"/>
  <c r="BS16" i="22"/>
  <c r="HT19" i="1"/>
  <c r="IK19" i="1"/>
  <c r="QR25" i="1"/>
  <c r="IY25" i="1"/>
  <c r="RE41" i="1"/>
  <c r="RE28" i="1"/>
  <c r="IY26" i="1"/>
  <c r="CH13" i="22" l="1"/>
  <c r="HU19" i="1"/>
  <c r="AR17" i="22"/>
  <c r="AT17" i="22"/>
  <c r="AR34" i="22"/>
  <c r="AT34" i="22"/>
  <c r="AR23" i="22"/>
  <c r="AT23" i="22"/>
  <c r="AR24" i="22"/>
  <c r="AT24" i="22"/>
  <c r="AR18" i="22"/>
  <c r="AT18" i="22"/>
  <c r="AR31" i="22"/>
  <c r="AT31" i="22"/>
  <c r="AR29" i="22"/>
  <c r="AT29" i="22"/>
  <c r="AR30" i="22"/>
  <c r="AT30" i="22"/>
  <c r="AR28" i="22"/>
  <c r="AT28" i="22"/>
  <c r="AR22" i="22"/>
  <c r="AT22" i="22"/>
  <c r="AR32" i="22"/>
  <c r="AT32" i="22"/>
  <c r="AR12" i="22"/>
  <c r="AT12" i="22"/>
  <c r="AR21" i="22"/>
  <c r="AT21" i="22"/>
  <c r="AR25" i="22"/>
  <c r="AT25" i="22"/>
  <c r="AR27" i="22"/>
  <c r="AT27" i="22"/>
  <c r="AR19" i="22"/>
  <c r="AT19" i="22"/>
  <c r="AR20" i="22"/>
  <c r="AT20" i="22"/>
  <c r="AR33" i="22"/>
  <c r="AT33" i="22"/>
  <c r="AR35" i="22"/>
  <c r="AT35" i="22"/>
  <c r="AR16" i="22"/>
  <c r="AT16" i="22"/>
  <c r="AR36" i="22"/>
  <c r="AT36" i="22"/>
  <c r="AR15" i="22"/>
  <c r="AT15" i="22"/>
  <c r="AR26" i="22"/>
  <c r="AT26" i="22"/>
  <c r="BN30" i="22"/>
  <c r="BR30" i="22" s="1"/>
  <c r="BV13" i="22"/>
  <c r="BZ13" i="22" s="1"/>
  <c r="RC25" i="1"/>
  <c r="RD25" i="1" s="1"/>
  <c r="RC40" i="1"/>
  <c r="RD40" i="1" s="1"/>
  <c r="BV25" i="22"/>
  <c r="BZ25" i="22" s="1"/>
  <c r="QP37" i="1"/>
  <c r="QQ37" i="1" s="1"/>
  <c r="BV12" i="22"/>
  <c r="BZ12" i="22" s="1"/>
  <c r="QP24" i="1"/>
  <c r="QQ24" i="1" s="1"/>
  <c r="BV14" i="22"/>
  <c r="BZ14" i="22" s="1"/>
  <c r="QP26" i="1"/>
  <c r="QQ26" i="1" s="1"/>
  <c r="BN25" i="22"/>
  <c r="BR25" i="22" s="1"/>
  <c r="PW37" i="1"/>
  <c r="PX37" i="1" s="1"/>
  <c r="BN26" i="22"/>
  <c r="BR26" i="22" s="1"/>
  <c r="PW38" i="1"/>
  <c r="PX38" i="1" s="1"/>
  <c r="BN12" i="22"/>
  <c r="BR12" i="22" s="1"/>
  <c r="BN27" i="22"/>
  <c r="BR27" i="22" s="1"/>
  <c r="BN13" i="22"/>
  <c r="BR13" i="22" s="1"/>
  <c r="BN14" i="22"/>
  <c r="BR14" i="22" s="1"/>
  <c r="PW26" i="1"/>
  <c r="PX26" i="1" s="1"/>
  <c r="AX13" i="22"/>
  <c r="AT13" i="22" s="1"/>
  <c r="AX14" i="22"/>
  <c r="AT14" i="22" s="1"/>
  <c r="AS7" i="22"/>
  <c r="BZ18" i="22"/>
  <c r="BZ27" i="22"/>
  <c r="BZ16" i="22"/>
  <c r="BZ26" i="22"/>
  <c r="BZ28" i="22"/>
  <c r="BR28" i="22"/>
  <c r="BR18" i="22"/>
  <c r="BR15" i="22"/>
  <c r="BR16" i="22"/>
  <c r="BX22" i="22"/>
  <c r="PW42" i="1"/>
  <c r="PX42" i="1" s="1"/>
  <c r="PW25" i="1"/>
  <c r="PW24" i="1"/>
  <c r="PW39" i="1"/>
  <c r="IW19" i="1"/>
  <c r="IN19" i="1"/>
  <c r="RE33" i="1"/>
  <c r="RE31" i="1"/>
  <c r="PY37" i="1"/>
  <c r="RE32" i="1"/>
  <c r="PY26" i="1"/>
  <c r="IT19" i="1"/>
  <c r="PY38" i="1"/>
  <c r="RE45" i="1"/>
  <c r="RE39" i="1"/>
  <c r="QR24" i="1"/>
  <c r="RE25" i="1"/>
  <c r="RE47" i="1"/>
  <c r="RE48" i="1"/>
  <c r="RE43" i="1"/>
  <c r="Q54" i="21"/>
  <c r="QR26" i="1"/>
  <c r="HV19" i="1"/>
  <c r="RE36" i="1"/>
  <c r="RE35" i="1"/>
  <c r="QR37" i="1"/>
  <c r="IX19" i="1" l="1"/>
  <c r="IO19" i="1"/>
  <c r="PX24" i="1"/>
  <c r="PX25" i="1"/>
  <c r="PX39" i="1"/>
  <c r="AR14" i="22"/>
  <c r="AR13" i="22"/>
  <c r="AG7" i="22"/>
  <c r="AN7" i="22"/>
  <c r="AU7" i="22"/>
  <c r="HX19" i="1"/>
  <c r="AH7" i="22" s="1"/>
  <c r="AO7" i="22"/>
  <c r="AL7" i="22"/>
  <c r="IV19" i="1"/>
  <c r="AV7" i="22" s="1"/>
  <c r="AW7" i="22" s="1"/>
  <c r="AE7" i="22"/>
  <c r="BT22" i="22"/>
  <c r="BO22" i="22" s="1"/>
  <c r="CJ29" i="22"/>
  <c r="CE29" i="22" s="1"/>
  <c r="BT36" i="22"/>
  <c r="BO36" i="22" s="1"/>
  <c r="CJ33" i="22"/>
  <c r="CE33" i="22" s="1"/>
  <c r="CB30" i="22"/>
  <c r="BW30" i="22" s="1"/>
  <c r="BT35" i="22"/>
  <c r="BO35" i="22" s="1"/>
  <c r="CB28" i="22"/>
  <c r="BW28" i="22" s="1"/>
  <c r="CJ21" i="22"/>
  <c r="CE21" i="22" s="1"/>
  <c r="BT31" i="22"/>
  <c r="BO31" i="22" s="1"/>
  <c r="BT23" i="22"/>
  <c r="BO23" i="22" s="1"/>
  <c r="CB32" i="22"/>
  <c r="BW32" i="22" s="1"/>
  <c r="CJ19" i="22"/>
  <c r="CE19" i="22" s="1"/>
  <c r="CB20" i="22"/>
  <c r="BW20" i="22" s="1"/>
  <c r="CB27" i="22"/>
  <c r="CB26" i="22"/>
  <c r="CB29" i="22"/>
  <c r="BW29" i="22" s="1"/>
  <c r="CJ24" i="22"/>
  <c r="CE24" i="22" s="1"/>
  <c r="CB35" i="22"/>
  <c r="BW35" i="22" s="1"/>
  <c r="CB22" i="22"/>
  <c r="BW22" i="22" s="1"/>
  <c r="CJ27" i="22"/>
  <c r="CE27" i="22" s="1"/>
  <c r="CJ23" i="22"/>
  <c r="CE23" i="22" s="1"/>
  <c r="CB23" i="22"/>
  <c r="BW23" i="22" s="1"/>
  <c r="BT28" i="22"/>
  <c r="BO28" i="22" s="1"/>
  <c r="CB24" i="22"/>
  <c r="BW24" i="22" s="1"/>
  <c r="CB36" i="22"/>
  <c r="BW36" i="22" s="1"/>
  <c r="CB13" i="22"/>
  <c r="CJ36" i="22"/>
  <c r="CE36" i="22" s="1"/>
  <c r="CJ31" i="22"/>
  <c r="CE31" i="22" s="1"/>
  <c r="CJ16" i="22"/>
  <c r="CE16" i="22" s="1"/>
  <c r="BT24" i="22"/>
  <c r="BO24" i="22" s="1"/>
  <c r="CB16" i="22"/>
  <c r="BW16" i="22" s="1"/>
  <c r="CJ13" i="22"/>
  <c r="CJ35" i="22"/>
  <c r="CE35" i="22" s="1"/>
  <c r="BT18" i="22"/>
  <c r="BO18" i="22" s="1"/>
  <c r="CJ20" i="22"/>
  <c r="CE20" i="22" s="1"/>
  <c r="BT26" i="22"/>
  <c r="BO26" i="22" s="1"/>
  <c r="HY19" i="1"/>
  <c r="IP19" i="1"/>
  <c r="N42" i="21"/>
  <c r="RE27" i="1"/>
  <c r="PY42" i="1"/>
  <c r="PY39" i="1"/>
  <c r="PY24" i="1"/>
  <c r="PY25" i="1"/>
  <c r="HZ19" i="1" l="1"/>
  <c r="CC13" i="22"/>
  <c r="CE13" i="22"/>
  <c r="BU26" i="22"/>
  <c r="BW26" i="22"/>
  <c r="BU13" i="22"/>
  <c r="BW13" i="22"/>
  <c r="BU27" i="22"/>
  <c r="BW27" i="22"/>
  <c r="BT12" i="22"/>
  <c r="BO12" i="22" s="1"/>
  <c r="BU24" i="22"/>
  <c r="BU29" i="22"/>
  <c r="CC21" i="22"/>
  <c r="BM18" i="22"/>
  <c r="BU16" i="22"/>
  <c r="CC36" i="22"/>
  <c r="BM28" i="22"/>
  <c r="BU22" i="22"/>
  <c r="BU32" i="22"/>
  <c r="BU28" i="22"/>
  <c r="BM36" i="22"/>
  <c r="CC35" i="22"/>
  <c r="BU23" i="22"/>
  <c r="BU35" i="22"/>
  <c r="BM35" i="22"/>
  <c r="CC29" i="22"/>
  <c r="BM24" i="22"/>
  <c r="BM23" i="22"/>
  <c r="CC16" i="22"/>
  <c r="BU36" i="22"/>
  <c r="CC23" i="22"/>
  <c r="CC24" i="22"/>
  <c r="BU20" i="22"/>
  <c r="BM31" i="22"/>
  <c r="BU30" i="22"/>
  <c r="BM22" i="22"/>
  <c r="CC20" i="22"/>
  <c r="CC31" i="22"/>
  <c r="CC27" i="22"/>
  <c r="CC19" i="22"/>
  <c r="CC33" i="22"/>
  <c r="AP7" i="22"/>
  <c r="AI7" i="22"/>
  <c r="BM26" i="22"/>
  <c r="CJ15" i="22"/>
  <c r="CE15" i="22" s="1"/>
  <c r="RE37" i="1"/>
  <c r="IA19" i="1"/>
  <c r="BM12" i="22" l="1"/>
  <c r="CC15" i="22"/>
  <c r="CJ25" i="22"/>
  <c r="CE25" i="22" s="1"/>
  <c r="BT33" i="22"/>
  <c r="BO33" i="22" s="1"/>
  <c r="O42" i="21"/>
  <c r="Q52" i="21"/>
  <c r="Q42" i="21"/>
  <c r="BM33" i="22" l="1"/>
  <c r="CC25" i="22"/>
  <c r="H41" i="21"/>
  <c r="AQ7" i="22"/>
  <c r="AM7" i="22" s="1"/>
  <c r="AJ7" i="22"/>
  <c r="AF7" i="22" s="1"/>
  <c r="BT27" i="22"/>
  <c r="BO27" i="22" s="1"/>
  <c r="BT16" i="22"/>
  <c r="BO16" i="22" s="1"/>
  <c r="Q34" i="21"/>
  <c r="RE42" i="1"/>
  <c r="IY19" i="1"/>
  <c r="RE24" i="1"/>
  <c r="Q33" i="21"/>
  <c r="RE34" i="1"/>
  <c r="RE38" i="1"/>
  <c r="O32" i="21"/>
  <c r="RE26" i="1"/>
  <c r="Q32" i="21"/>
  <c r="O33" i="21"/>
  <c r="Q53" i="21"/>
  <c r="AD7" i="22" l="1"/>
  <c r="BM16" i="22"/>
  <c r="AK7" i="22"/>
  <c r="BM27" i="22"/>
  <c r="AX7" i="22"/>
  <c r="AT7" i="22" s="1"/>
  <c r="CJ30" i="22"/>
  <c r="CE30" i="22" s="1"/>
  <c r="CJ14" i="22"/>
  <c r="CE14" i="22" s="1"/>
  <c r="BT13" i="22"/>
  <c r="BO13" i="22" s="1"/>
  <c r="CJ12" i="22"/>
  <c r="CE12" i="22" s="1"/>
  <c r="BT19" i="22"/>
  <c r="BO19" i="22" s="1"/>
  <c r="BT15" i="22"/>
  <c r="BO15" i="22" s="1"/>
  <c r="CJ26" i="22"/>
  <c r="CE26" i="22" s="1"/>
  <c r="CJ22" i="22"/>
  <c r="CE22" i="22" s="1"/>
  <c r="RE40" i="1"/>
  <c r="N32" i="21"/>
  <c r="O34" i="21"/>
  <c r="RE44" i="1"/>
  <c r="N33" i="21"/>
  <c r="CC22" i="22" l="1"/>
  <c r="CC12" i="22"/>
  <c r="AR7" i="22"/>
  <c r="CC26" i="22"/>
  <c r="BM15" i="22"/>
  <c r="CC14" i="22"/>
  <c r="BM19" i="22"/>
  <c r="CC30" i="22"/>
  <c r="BM13" i="22"/>
  <c r="BT29" i="22"/>
  <c r="BO29" i="22" s="1"/>
  <c r="N34" i="21"/>
  <c r="RE46" i="1"/>
  <c r="BM29" i="22" l="1"/>
  <c r="BT25" i="22"/>
  <c r="BO25" i="22" s="1"/>
  <c r="BT34" i="22"/>
  <c r="BO34" i="22" s="1"/>
  <c r="BT21" i="22"/>
  <c r="BO21" i="22" s="1"/>
  <c r="CB12" i="22"/>
  <c r="CJ32" i="22"/>
  <c r="CE32" i="22" s="1"/>
  <c r="CB31" i="22"/>
  <c r="BW31" i="22" s="1"/>
  <c r="CB34" i="22"/>
  <c r="BW34" i="22" s="1"/>
  <c r="CJ28" i="22"/>
  <c r="CE28" i="22" s="1"/>
  <c r="BT32" i="22"/>
  <c r="BO32" i="22" s="1"/>
  <c r="CB25" i="22"/>
  <c r="CB33" i="22"/>
  <c r="BW33" i="22" s="1"/>
  <c r="CB19" i="22"/>
  <c r="BW19" i="22" s="1"/>
  <c r="BT20" i="22"/>
  <c r="BO20" i="22" s="1"/>
  <c r="CB21" i="22"/>
  <c r="BW21" i="22" s="1"/>
  <c r="CJ34" i="22"/>
  <c r="CE34" i="22" s="1"/>
  <c r="CB18" i="22"/>
  <c r="BW18" i="22" s="1"/>
  <c r="RE30" i="1"/>
  <c r="BU25" i="22" l="1"/>
  <c r="BW25" i="22"/>
  <c r="BU12" i="22"/>
  <c r="BW12" i="22"/>
  <c r="CC34" i="22"/>
  <c r="BU33" i="22"/>
  <c r="BU34" i="22"/>
  <c r="BU21" i="22"/>
  <c r="BU31" i="22"/>
  <c r="BM34" i="22"/>
  <c r="BM20" i="22"/>
  <c r="BM32" i="22"/>
  <c r="CC32" i="22"/>
  <c r="BU18" i="22"/>
  <c r="BU19" i="22"/>
  <c r="CC28" i="22"/>
  <c r="BM21" i="22"/>
  <c r="BM25" i="22"/>
  <c r="CB15" i="22"/>
  <c r="BW15" i="22" s="1"/>
  <c r="CJ18" i="22"/>
  <c r="CE18" i="22" s="1"/>
  <c r="BT30" i="22"/>
  <c r="BO30" i="22" s="1"/>
  <c r="CB14" i="22"/>
  <c r="BU14" i="22" l="1"/>
  <c r="BW14" i="22"/>
  <c r="CC18" i="22"/>
  <c r="BU15" i="22"/>
  <c r="BM30" i="22"/>
  <c r="O54" i="21"/>
  <c r="N53" i="21"/>
  <c r="O53" i="21"/>
  <c r="N54" i="21"/>
  <c r="BT14" i="22" l="1"/>
  <c r="BO14" i="22" s="1"/>
  <c r="E35" i="21"/>
  <c r="F35" i="21"/>
  <c r="D35" i="21"/>
  <c r="N35" i="21"/>
  <c r="Q35" i="21"/>
  <c r="O35" i="21"/>
  <c r="BM14" i="22" l="1"/>
  <c r="H31" i="21"/>
  <c r="N52" i="21"/>
  <c r="O52" i="21"/>
  <c r="H51" i="21" l="1"/>
</calcChain>
</file>

<file path=xl/comments1.xml><?xml version="1.0" encoding="utf-8"?>
<comments xmlns="http://schemas.openxmlformats.org/spreadsheetml/2006/main">
  <authors>
    <author>sr1</author>
  </authors>
  <commentList>
    <comment ref="C14" authorId="0">
      <text>
        <r>
          <rPr>
            <sz val="9"/>
            <color indexed="81"/>
            <rFont val="Tahoma"/>
            <family val="2"/>
          </rPr>
          <t xml:space="preserve">Nidwalden – celine.tschopp@nw.ch
Obwalden – sport@ow.ch
Schwyz – sport.avs@sz.ch
Uri – marieandrea.egli@ur.ch
</t>
        </r>
      </text>
    </comment>
  </commentList>
</comments>
</file>

<file path=xl/sharedStrings.xml><?xml version="1.0" encoding="utf-8"?>
<sst xmlns="http://schemas.openxmlformats.org/spreadsheetml/2006/main" count="1854" uniqueCount="574">
  <si>
    <t>Ballwurf</t>
  </si>
  <si>
    <t>Kugelstossen</t>
  </si>
  <si>
    <t>Speerwurf</t>
  </si>
  <si>
    <t>Sprungdisziplinen</t>
  </si>
  <si>
    <t>Hochsprung</t>
  </si>
  <si>
    <t>Weitsprung</t>
  </si>
  <si>
    <t>Geräteturnen</t>
  </si>
  <si>
    <t>Note</t>
  </si>
  <si>
    <t>Punktzahl</t>
  </si>
  <si>
    <t>Tanzen</t>
  </si>
  <si>
    <t>Aerobic</t>
  </si>
  <si>
    <t>Zeit</t>
  </si>
  <si>
    <t>Basketball</t>
  </si>
  <si>
    <t>Fussball</t>
  </si>
  <si>
    <t>Handball</t>
  </si>
  <si>
    <t>Unihockey</t>
  </si>
  <si>
    <t>Volleyball</t>
  </si>
  <si>
    <t>Ausdauer</t>
  </si>
  <si>
    <t>Beweglichkeit</t>
  </si>
  <si>
    <t>Rumpfkraft</t>
  </si>
  <si>
    <t>Schnelligkeit</t>
  </si>
  <si>
    <t>Rope-Skipping</t>
  </si>
  <si>
    <t>Resultat</t>
  </si>
  <si>
    <t>60-m-Lauf</t>
  </si>
  <si>
    <t>80-m-Lauf</t>
  </si>
  <si>
    <t>Status</t>
  </si>
  <si>
    <t>Lehrperson:</t>
  </si>
  <si>
    <t>Schulhaus:</t>
  </si>
  <si>
    <t>Klasse:</t>
  </si>
  <si>
    <t>Schulgemeinde:</t>
  </si>
  <si>
    <t>Knaben</t>
  </si>
  <si>
    <t>Mädchen</t>
  </si>
  <si>
    <t>Sekunden</t>
  </si>
  <si>
    <t>StdDispensation</t>
  </si>
  <si>
    <t>ja</t>
  </si>
  <si>
    <t>nein</t>
  </si>
  <si>
    <t>StdSkala</t>
  </si>
  <si>
    <t>Punkte</t>
  </si>
  <si>
    <t>Bewertung</t>
  </si>
  <si>
    <t>Meter</t>
  </si>
  <si>
    <t>StdGeschlecht</t>
  </si>
  <si>
    <t>StdBewertung</t>
  </si>
  <si>
    <t>StdDisziplin</t>
  </si>
  <si>
    <t>StdBS</t>
  </si>
  <si>
    <t>StdFehler</t>
  </si>
  <si>
    <t>StdAnzeigetext</t>
  </si>
  <si>
    <t>Anzeigetext</t>
  </si>
  <si>
    <t>Distanz</t>
  </si>
  <si>
    <t>StdBewertungen[StdBewertung]</t>
  </si>
  <si>
    <t>12-Min.-Lauf (Halle)</t>
  </si>
  <si>
    <t>12-Min.-Lauf (im Freien)</t>
  </si>
  <si>
    <t>Meter, Zentimeter</t>
  </si>
  <si>
    <t>Anzahl</t>
  </si>
  <si>
    <t>Hundertstelsekunden</t>
  </si>
  <si>
    <t>Gruppe</t>
  </si>
  <si>
    <t>StdGruppe</t>
  </si>
  <si>
    <t>Wurfdisziplinen</t>
  </si>
  <si>
    <t>Sprintdisziplinen</t>
  </si>
  <si>
    <t>Ausdauerdisziplinen</t>
  </si>
  <si>
    <t>StdFähigkeit</t>
  </si>
  <si>
    <t>Fähigkeit</t>
  </si>
  <si>
    <t>Sekunden, Zehntelsekunden</t>
  </si>
  <si>
    <t>Schwimmen</t>
  </si>
  <si>
    <t>StdNummer</t>
  </si>
  <si>
    <t>Laufen, Springen, Werfen</t>
  </si>
  <si>
    <t>BS-Nr.</t>
  </si>
  <si>
    <t>StdBS[StdNummer]</t>
  </si>
  <si>
    <t>Bewegen an Geräten</t>
  </si>
  <si>
    <t>Darstellen und Tanzen</t>
  </si>
  <si>
    <t>Spielen</t>
  </si>
  <si>
    <t>Bewegen im Wasser</t>
  </si>
  <si>
    <t>Fit-Check</t>
  </si>
  <si>
    <t>Konditionsparcours</t>
  </si>
  <si>
    <t>StdFit0</t>
  </si>
  <si>
    <t>StdFit1</t>
  </si>
  <si>
    <t>StdFit[StdFit1]</t>
  </si>
  <si>
    <t>StdFit[StdFit0]</t>
  </si>
  <si>
    <t>Fit0</t>
  </si>
  <si>
    <t>Fit1</t>
  </si>
  <si>
    <t>Zentimeter</t>
  </si>
  <si>
    <t>StdTabÜberschrift</t>
  </si>
  <si>
    <t>StdSprint</t>
  </si>
  <si>
    <t>StdAusdauer</t>
  </si>
  <si>
    <t>BS 5</t>
  </si>
  <si>
    <t>F A K U L T A T I V</t>
  </si>
  <si>
    <t>Ergebnis</t>
  </si>
  <si>
    <t>StdErgebnis</t>
  </si>
  <si>
    <t>Gleiten</t>
  </si>
  <si>
    <t>Erfüllt</t>
  </si>
  <si>
    <t>Name:</t>
  </si>
  <si>
    <t>Vorname:</t>
  </si>
  <si>
    <t>ID</t>
  </si>
  <si>
    <t>SechzigmLauf</t>
  </si>
  <si>
    <t>AchtzigmLauf</t>
  </si>
  <si>
    <t>ZwölfMinLaufHalle</t>
  </si>
  <si>
    <t>ZwölfMinLaufimFreien</t>
  </si>
  <si>
    <t>RopeSkipping</t>
  </si>
  <si>
    <t>Absolviert</t>
  </si>
  <si>
    <t>Sehr gut</t>
  </si>
  <si>
    <t>Gut</t>
  </si>
  <si>
    <t>Befriedigend</t>
  </si>
  <si>
    <t>Ungenügend</t>
  </si>
  <si>
    <t>k/S</t>
  </si>
  <si>
    <t>Skala prüfen</t>
  </si>
  <si>
    <t>S C H U L S P O R T P R Ü F U N G   NW  OW  SZ  UR</t>
  </si>
  <si>
    <t>Anzahl Runden</t>
  </si>
  <si>
    <t>Gleiten, Rollen, Fahren</t>
  </si>
  <si>
    <t>Datum Abgabe:</t>
  </si>
  <si>
    <t>an die Abteilung Sport / das Sportamt</t>
  </si>
  <si>
    <t>Bitte diese Resultatmappe</t>
  </si>
  <si>
    <t>Schüler/-in:</t>
  </si>
  <si>
    <t>Allgemeine Fitness</t>
  </si>
  <si>
    <t>StdFit2</t>
  </si>
  <si>
    <t>FIT</t>
  </si>
  <si>
    <t>Ø</t>
  </si>
  <si>
    <t>des betreffenden Kantons senden</t>
  </si>
  <si>
    <t>StdJahr</t>
  </si>
  <si>
    <t>Geschlecht</t>
  </si>
  <si>
    <t>Jahr</t>
  </si>
  <si>
    <t>StdJahrText</t>
  </si>
  <si>
    <t>StdSkalaCode</t>
  </si>
  <si>
    <t>StdJahr[StdJahrText]</t>
  </si>
  <si>
    <t>[Resultat]</t>
  </si>
  <si>
    <t>StdSkalaText</t>
  </si>
  <si>
    <t>Dispensiert</t>
  </si>
  <si>
    <r>
      <t xml:space="preserve">Wenn die ganze Klasse dieselbe Disziplin absolviert hat,
Disziplin </t>
    </r>
    <r>
      <rPr>
        <b/>
        <sz val="8"/>
        <color rgb="FF00B050"/>
        <rFont val="Calibri"/>
        <family val="2"/>
        <scheme val="minor"/>
      </rPr>
      <t>im obersten Feld</t>
    </r>
    <r>
      <rPr>
        <sz val="8"/>
        <color theme="1"/>
        <rFont val="Calibri"/>
        <family val="2"/>
        <scheme val="minor"/>
      </rPr>
      <t xml:space="preserve"> eintragen (wird übernommen),
sonst individuell auf Zeile je Schüler/-in eintragen</t>
    </r>
  </si>
  <si>
    <t>bis Ende der 2. Oberstufe</t>
  </si>
  <si>
    <t>1. Oberstufe</t>
  </si>
  <si>
    <t>2. Oberstufe</t>
  </si>
  <si>
    <t>Geschlecht (Skala)</t>
  </si>
  <si>
    <r>
      <t xml:space="preserve">Stufe der Prüfung wählen </t>
    </r>
    <r>
      <rPr>
        <sz val="11"/>
        <rFont val="Wingdings"/>
        <charset val="2"/>
      </rPr>
      <t>ð</t>
    </r>
  </si>
  <si>
    <t>Parkour</t>
  </si>
  <si>
    <t>Reck</t>
  </si>
  <si>
    <t>Boden</t>
  </si>
  <si>
    <t>Stufenbarren</t>
  </si>
  <si>
    <t>Parallelbarren</t>
  </si>
  <si>
    <t>Schaukelringe</t>
  </si>
  <si>
    <t>Sprung</t>
  </si>
  <si>
    <t>Titelanzeige</t>
  </si>
  <si>
    <t>Skala-Wert</t>
  </si>
  <si>
    <t>Resultatanzeige</t>
  </si>
  <si>
    <t>TabÜberschriftResultat</t>
  </si>
  <si>
    <t>TabÜberschriftNote</t>
  </si>
  <si>
    <t>TabÜberschriftDurchschnitt</t>
  </si>
  <si>
    <t>Sekunden, gerundet auf Hundertstelsekunden</t>
  </si>
  <si>
    <t>Anzahl Runden, gerundet auf halbe Runden</t>
  </si>
  <si>
    <t>Meter, gerundet auf ganze Zahl</t>
  </si>
  <si>
    <t>Zentimeter, gerundet auf ganze Zahl</t>
  </si>
  <si>
    <t>Meter, gerundet auf zwei Stellen</t>
  </si>
  <si>
    <t>StdResultatform</t>
  </si>
  <si>
    <t>Resultatform</t>
  </si>
  <si>
    <t>StdResultatform[StdResultatform]</t>
  </si>
  <si>
    <t>Effektiv erzieltes Resultat eintragen:</t>
  </si>
  <si>
    <t>Beste Note</t>
  </si>
  <si>
    <t>Keine Note</t>
  </si>
  <si>
    <t>Zu wenige Noten</t>
  </si>
  <si>
    <t>In den Durchschnitt eingehende Noten</t>
  </si>
  <si>
    <t>Sekunden, gerundet auf Zehntelsekunden</t>
  </si>
  <si>
    <t>Punkte, gerundet auf ganze Zahl</t>
  </si>
  <si>
    <t>Punkte, ganze oder halbe</t>
  </si>
  <si>
    <t>Punkte, ganze</t>
  </si>
  <si>
    <t>Sekunden, gerundet auf ganze Zahl</t>
  </si>
  <si>
    <t>Resultat/Note werden von BS 1 übernommen</t>
  </si>
  <si>
    <t>Effektiv erzieltes Resultat bei BS 1 eintragen</t>
  </si>
  <si>
    <t>Status wählen</t>
  </si>
  <si>
    <t>Vergleichstyp</t>
  </si>
  <si>
    <t>StdVergleichstyp</t>
  </si>
  <si>
    <t>Disziplin</t>
  </si>
  <si>
    <t>AnzahlGeforderteDisziplinen</t>
  </si>
  <si>
    <t>D</t>
  </si>
  <si>
    <t>Punkte, abgerundet auf ganze Zahl</t>
  </si>
  <si>
    <t>2. OS</t>
  </si>
  <si>
    <t>Zentimeter, abgerundet auf ganze Zahl</t>
  </si>
  <si>
    <t>Sekunden, abgerundet auf ganze Zahl</t>
  </si>
  <si>
    <t>Auswertung
Geräteturnen</t>
  </si>
  <si>
    <t>Note Geräteturnen
und Note Parkour</t>
  </si>
  <si>
    <t>Ø aus Ergebnissen
BS 1, BS 2,
BS 3, BS 4</t>
  </si>
  <si>
    <t>BereichBedingteFormatierung</t>
  </si>
  <si>
    <t>Mathematisch</t>
  </si>
  <si>
    <t>StdMathematisch</t>
  </si>
  <si>
    <t>StdStellen</t>
  </si>
  <si>
    <t>Rundung</t>
  </si>
  <si>
    <t>Gesamtpunkte
Geräteturnen
(gerundet)</t>
  </si>
  <si>
    <t>Positionen</t>
  </si>
  <si>
    <t>Maximalwert_OS2</t>
  </si>
  <si>
    <t>Maximalwert_OS1</t>
  </si>
  <si>
    <t>Pos. 1</t>
  </si>
  <si>
    <t>Pos. 2</t>
  </si>
  <si>
    <t>Anz.
D</t>
  </si>
  <si>
    <t>Anz.
Zahl&gt;0</t>
  </si>
  <si>
    <r>
      <rPr>
        <b/>
        <sz val="11"/>
        <color theme="1"/>
        <rFont val="Calibri"/>
        <family val="2"/>
        <scheme val="minor"/>
      </rPr>
      <t>Ok?</t>
    </r>
    <r>
      <rPr>
        <sz val="11"/>
        <color theme="1"/>
        <rFont val="Calibri"/>
        <family val="2"/>
        <scheme val="minor"/>
      </rPr>
      <t xml:space="preserve">
Z+D&gt;=</t>
    </r>
  </si>
  <si>
    <t>Erstellung
Textanzeige</t>
  </si>
  <si>
    <t>Anz. Zahlen
&lt;&gt;99</t>
  </si>
  <si>
    <t>Anz.
99</t>
  </si>
  <si>
    <t>Summe
ohne 99</t>
  </si>
  <si>
    <t>Durchschnitt</t>
  </si>
  <si>
    <t>Erstellung Textanzeige</t>
  </si>
  <si>
    <t>Anz.
Zahl</t>
  </si>
  <si>
    <r>
      <rPr>
        <b/>
        <sz val="11"/>
        <color theme="1"/>
        <rFont val="Calibri"/>
        <family val="2"/>
        <scheme val="minor"/>
      </rPr>
      <t>Ok?</t>
    </r>
    <r>
      <rPr>
        <sz val="11"/>
        <color theme="1"/>
        <rFont val="Calibri"/>
        <family val="2"/>
        <scheme val="minor"/>
      </rPr>
      <t xml:space="preserve">
Z+D
=</t>
    </r>
  </si>
  <si>
    <t>Gesamtnote</t>
  </si>
  <si>
    <t>Durchschnitt
BS 1 bis BS 4</t>
  </si>
  <si>
    <t>Geräte Summe</t>
  </si>
  <si>
    <t>Disziplin BS 5</t>
  </si>
  <si>
    <t>Geschl</t>
  </si>
  <si>
    <t>SL</t>
  </si>
  <si>
    <t>AL</t>
  </si>
  <si>
    <t>ZH</t>
  </si>
  <si>
    <t>ZF</t>
  </si>
  <si>
    <t>Hs</t>
  </si>
  <si>
    <t>Ws</t>
  </si>
  <si>
    <t>Bw</t>
  </si>
  <si>
    <t>Ks</t>
  </si>
  <si>
    <t>Sw</t>
  </si>
  <si>
    <t>Rk</t>
  </si>
  <si>
    <t>Bd</t>
  </si>
  <si>
    <t>Sb</t>
  </si>
  <si>
    <t>Pb</t>
  </si>
  <si>
    <t>Sr</t>
  </si>
  <si>
    <t>Sp</t>
  </si>
  <si>
    <t>GS</t>
  </si>
  <si>
    <t>Pk</t>
  </si>
  <si>
    <t>Tz</t>
  </si>
  <si>
    <t>Rs</t>
  </si>
  <si>
    <t>Ae</t>
  </si>
  <si>
    <t>Bb</t>
  </si>
  <si>
    <t>Fb</t>
  </si>
  <si>
    <t>Hb</t>
  </si>
  <si>
    <t>Uh</t>
  </si>
  <si>
    <t>Vb</t>
  </si>
  <si>
    <t>Bf</t>
  </si>
  <si>
    <t>Sc</t>
  </si>
  <si>
    <t>Bg</t>
  </si>
  <si>
    <t>Ru</t>
  </si>
  <si>
    <t>Kp</t>
  </si>
  <si>
    <t>Beste
Note</t>
  </si>
  <si>
    <t>Zweit-
beste
Note</t>
  </si>
  <si>
    <t>Dritt-
beste
Note</t>
  </si>
  <si>
    <t>Nicht erfüllt</t>
  </si>
  <si>
    <t>N_60-m-Lauf</t>
  </si>
  <si>
    <t>N_80-m-Lauf</t>
  </si>
  <si>
    <t>N_12-Min.-Lauf (Halle)</t>
  </si>
  <si>
    <t>N_12-Min.-Lauf (im Freien)</t>
  </si>
  <si>
    <t>N_Hochsprung</t>
  </si>
  <si>
    <t>N_Weitsprung</t>
  </si>
  <si>
    <t>N_Ballwurf</t>
  </si>
  <si>
    <t>N_Kugelstossen</t>
  </si>
  <si>
    <t>N_Speerwurf</t>
  </si>
  <si>
    <t>N_Reck</t>
  </si>
  <si>
    <t>N_Boden</t>
  </si>
  <si>
    <t>N_Stufenbarren</t>
  </si>
  <si>
    <t>N_Parallelbarren</t>
  </si>
  <si>
    <t>N_Schaukelringe</t>
  </si>
  <si>
    <t>N_Sprung</t>
  </si>
  <si>
    <t>N_Geräte Summe</t>
  </si>
  <si>
    <t>N_Parkour</t>
  </si>
  <si>
    <t>N_Tanzen</t>
  </si>
  <si>
    <t>N_Rope-Skipping</t>
  </si>
  <si>
    <t>N_Aerobic</t>
  </si>
  <si>
    <t>N_Basketball</t>
  </si>
  <si>
    <t>N_Fussball</t>
  </si>
  <si>
    <t>N_Handball</t>
  </si>
  <si>
    <t>N_Unihockey</t>
  </si>
  <si>
    <t>N_Volleyball</t>
  </si>
  <si>
    <t>N_BS 5</t>
  </si>
  <si>
    <t>N_Schwimmen</t>
  </si>
  <si>
    <t>N_Beweglichkeit</t>
  </si>
  <si>
    <t>N_Rumpfkraft</t>
  </si>
  <si>
    <t>N_Konditionsparcours</t>
  </si>
  <si>
    <t>Schulsportprüfung</t>
  </si>
  <si>
    <t>Kanton</t>
  </si>
  <si>
    <t>Schulgemeinde</t>
  </si>
  <si>
    <t>Kantone</t>
  </si>
  <si>
    <t>Nidwalden</t>
  </si>
  <si>
    <t>Obwalden</t>
  </si>
  <si>
    <t>Schwyz</t>
  </si>
  <si>
    <t>Uri</t>
  </si>
  <si>
    <t>Kantone[Kantone]</t>
  </si>
  <si>
    <t>_SuSN</t>
  </si>
  <si>
    <t>Niveau gehalten</t>
  </si>
  <si>
    <t>Bemerkungen</t>
  </si>
  <si>
    <t>Medaille</t>
  </si>
  <si>
    <t>Gold</t>
  </si>
  <si>
    <t>Silber</t>
  </si>
  <si>
    <t>Bronze</t>
  </si>
  <si>
    <t>Beurteilung</t>
  </si>
  <si>
    <t>Niveau deutlich verbessert</t>
  </si>
  <si>
    <t>Niveau verbessert</t>
  </si>
  <si>
    <t>Medaillen[Medaille]</t>
  </si>
  <si>
    <t>Niveau gesunken</t>
  </si>
  <si>
    <t>BS_1</t>
  </si>
  <si>
    <t>BS_2</t>
  </si>
  <si>
    <t>BS_3</t>
  </si>
  <si>
    <t>BS_4</t>
  </si>
  <si>
    <t>Notendurchschnitt</t>
  </si>
  <si>
    <t>Verteilschlüssel für Medaillen</t>
  </si>
  <si>
    <t>Schulgemeinden[Schulgemeinde]</t>
  </si>
  <si>
    <t>1. Pos.</t>
  </si>
  <si>
    <t>2. Pos.</t>
  </si>
  <si>
    <t>3. Pos.</t>
  </si>
  <si>
    <t>4. Pos.</t>
  </si>
  <si>
    <t>5. Pos.</t>
  </si>
  <si>
    <t>3. Pol.</t>
  </si>
  <si>
    <t>gilt für</t>
  </si>
  <si>
    <t>[Skalawert]</t>
  </si>
  <si>
    <t>Diplomsteuerung</t>
  </si>
  <si>
    <t>Diplomsteuerung (Spaltenindizes)</t>
  </si>
  <si>
    <t>Nummer</t>
  </si>
  <si>
    <t>Sprint1</t>
  </si>
  <si>
    <t>Sprint2</t>
  </si>
  <si>
    <t>Sprint0</t>
  </si>
  <si>
    <t xml:space="preserve"> dispensiert</t>
  </si>
  <si>
    <t>AuswDipl0</t>
  </si>
  <si>
    <t>[Nummer]</t>
  </si>
  <si>
    <t>[Sprint</t>
  </si>
  <si>
    <t>[Ausdauer</t>
  </si>
  <si>
    <t>[Sprung</t>
  </si>
  <si>
    <t>[Wurf</t>
  </si>
  <si>
    <t>Ausdauer0</t>
  </si>
  <si>
    <t>Ausdauer1</t>
  </si>
  <si>
    <t>Ausdauer2</t>
  </si>
  <si>
    <t>Sprung0</t>
  </si>
  <si>
    <t>Sprung1</t>
  </si>
  <si>
    <t>Sprung2</t>
  </si>
  <si>
    <t>Erreichter Wert</t>
  </si>
  <si>
    <t>Bewertung2</t>
  </si>
  <si>
    <t>StdDisziplinen[Bewertung2]</t>
  </si>
  <si>
    <t>Wurf1</t>
  </si>
  <si>
    <t>Wurf2</t>
  </si>
  <si>
    <t>Wurf0</t>
  </si>
  <si>
    <t xml:space="preserve"> nicht durchgeführt</t>
  </si>
  <si>
    <t>Sprint00</t>
  </si>
  <si>
    <t>Ausdauer00</t>
  </si>
  <si>
    <t>Sprint000</t>
  </si>
  <si>
    <t>Ausdauer000</t>
  </si>
  <si>
    <t>Sprung000</t>
  </si>
  <si>
    <t>Sprung00</t>
  </si>
  <si>
    <t>Wurf000</t>
  </si>
  <si>
    <t>Wurf00</t>
  </si>
  <si>
    <t>Beste
Punktzahl</t>
  </si>
  <si>
    <t>Zweit-
beste
Punktzahl</t>
  </si>
  <si>
    <t>Dritt-
beste
Punktzahl</t>
  </si>
  <si>
    <t>6. Pos.</t>
  </si>
  <si>
    <t>StdDisziplinen</t>
  </si>
  <si>
    <t>Erstes Gerät</t>
  </si>
  <si>
    <t>Zweites Gerät</t>
  </si>
  <si>
    <t>Drittes Gerät</t>
  </si>
  <si>
    <t>Höchstwert pro Stufe</t>
  </si>
  <si>
    <t>Stufe</t>
  </si>
  <si>
    <t>ParkourMax</t>
  </si>
  <si>
    <t>ParkourPkte0</t>
  </si>
  <si>
    <t>ParkourPkte1</t>
  </si>
  <si>
    <t>ParkourPkte2</t>
  </si>
  <si>
    <t>[BS_3_</t>
  </si>
  <si>
    <t>BS_3_Max</t>
  </si>
  <si>
    <t>Medaillen</t>
  </si>
  <si>
    <t>BS_2_Erg</t>
  </si>
  <si>
    <t>BS_1_Erg</t>
  </si>
  <si>
    <t>BS_3_Erg</t>
  </si>
  <si>
    <t>BS_4_Erg</t>
  </si>
  <si>
    <t>BS_1_Med</t>
  </si>
  <si>
    <t>BS_2_Med</t>
  </si>
  <si>
    <t>BS_3_Med</t>
  </si>
  <si>
    <t>BS_4_Med</t>
  </si>
  <si>
    <t>AuswDipl</t>
  </si>
  <si>
    <t>[Medaille]</t>
  </si>
  <si>
    <t>[BS_1_</t>
  </si>
  <si>
    <t>[BS_2_</t>
  </si>
  <si>
    <t>[BS_4_</t>
  </si>
  <si>
    <t>Form_Beurt</t>
  </si>
  <si>
    <t>Skalawert</t>
  </si>
  <si>
    <t>Erreichtes Ergebnis</t>
  </si>
  <si>
    <t>Stans</t>
  </si>
  <si>
    <t>[@[Skala-Wert]]</t>
  </si>
  <si>
    <t>Runden</t>
  </si>
  <si>
    <t>SprintMass</t>
  </si>
  <si>
    <t>AusdauerMass</t>
  </si>
  <si>
    <t>SprungMass</t>
  </si>
  <si>
    <t>WurfMass</t>
  </si>
  <si>
    <t>Einsiedeln</t>
  </si>
  <si>
    <t>Gersau</t>
  </si>
  <si>
    <t>Wollerau</t>
  </si>
  <si>
    <t>Freienbach</t>
  </si>
  <si>
    <t>Pfäffikon</t>
  </si>
  <si>
    <t>Lachen</t>
  </si>
  <si>
    <t>Siebnen</t>
  </si>
  <si>
    <t>Buttikon</t>
  </si>
  <si>
    <t>Küssnacht</t>
  </si>
  <si>
    <t>Ingenbohl-Brunnen</t>
  </si>
  <si>
    <t>Muotathal</t>
  </si>
  <si>
    <t>Steinen</t>
  </si>
  <si>
    <t>Unteriberg</t>
  </si>
  <si>
    <t>Oberarth</t>
  </si>
  <si>
    <t>Rothenthurm</t>
  </si>
  <si>
    <t>Beckenried</t>
  </si>
  <si>
    <t>Buochs</t>
  </si>
  <si>
    <t>Dallenwil</t>
  </si>
  <si>
    <t>Emmetten</t>
  </si>
  <si>
    <t>Ennetbürgen</t>
  </si>
  <si>
    <t>Hergiswil</t>
  </si>
  <si>
    <t>Oberdorf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</si>
  <si>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</si>
  <si>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</si>
  <si>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</si>
  <si>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</si>
  <si>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</si>
  <si>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</si>
  <si>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</si>
  <si>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</si>
  <si>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</si>
  <si>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Altdorf</t>
  </si>
  <si>
    <t>Bürglen</t>
  </si>
  <si>
    <t>Erstfeld</t>
  </si>
  <si>
    <t>Flüelen</t>
  </si>
  <si>
    <t>Seedorf</t>
  </si>
  <si>
    <t>Gurtnellen</t>
  </si>
  <si>
    <t>Andermatt</t>
  </si>
  <si>
    <t>Schattdorf</t>
  </si>
  <si>
    <t>Spiringen</t>
  </si>
  <si>
    <t>Silenen</t>
  </si>
  <si>
    <t>[Maximalwert_</t>
  </si>
  <si>
    <t>ParkourSkala</t>
  </si>
  <si>
    <t>ParkourPkte00</t>
  </si>
  <si>
    <t>BS_3_Mass</t>
  </si>
  <si>
    <t>Schuljahr</t>
  </si>
  <si>
    <t>Zähler</t>
  </si>
  <si>
    <t>Schuljahre</t>
  </si>
  <si>
    <t>[Schuljahr]</t>
  </si>
  <si>
    <t>Schuljahr 2021/2022</t>
  </si>
  <si>
    <t>BS_3_Pkte0</t>
  </si>
  <si>
    <t>BS_3_Pkte1</t>
  </si>
  <si>
    <t>Gerundet</t>
  </si>
  <si>
    <t>[Rundung]</t>
  </si>
  <si>
    <t>StdDisziplinen[StdStellen]</t>
  </si>
  <si>
    <t>BS_11</t>
  </si>
  <si>
    <t>BS_21</t>
  </si>
  <si>
    <t>BS_41</t>
  </si>
  <si>
    <t>[BS_11]</t>
  </si>
  <si>
    <t>[BS_21]</t>
  </si>
  <si>
    <t>[BS_41]</t>
  </si>
  <si>
    <t>BS_3_x</t>
  </si>
  <si>
    <t>3.75–4.74</t>
  </si>
  <si>
    <t>4.75–5.74</t>
  </si>
  <si>
    <t>1.00–3.74</t>
  </si>
  <si>
    <t>5.75–6.00</t>
  </si>
  <si>
    <t>BS_124</t>
  </si>
  <si>
    <t>AuswDipl124[Medaille]</t>
  </si>
  <si>
    <t>AuswDipl124[BS_124]</t>
  </si>
  <si>
    <t>Beste</t>
  </si>
  <si>
    <t>Spielsportart</t>
  </si>
  <si>
    <t>Texte Wertespalten</t>
  </si>
  <si>
    <t>Zweit-</t>
  </si>
  <si>
    <t>beste</t>
  </si>
  <si>
    <t>Dritt-</t>
  </si>
  <si>
    <t>ErSp_Höchst</t>
  </si>
  <si>
    <t>ErSp_Txt1</t>
  </si>
  <si>
    <t>ErSp_Txt2</t>
  </si>
  <si>
    <t>ErSp_Mass</t>
  </si>
  <si>
    <t>ErSp_Res2</t>
  </si>
  <si>
    <t>ErSp_Res1</t>
  </si>
  <si>
    <t>ErSp_Skala1</t>
  </si>
  <si>
    <t>ZwSp_Txt1</t>
  </si>
  <si>
    <t>ZwSp_Txt2</t>
  </si>
  <si>
    <t>ZwSp_Mass</t>
  </si>
  <si>
    <t>ZwSp_Res1</t>
  </si>
  <si>
    <t>ZwSp_Res2</t>
  </si>
  <si>
    <t>ZwSp_Höchst</t>
  </si>
  <si>
    <t>ZwSp_Skala1</t>
  </si>
  <si>
    <t>DrSp_Txt1</t>
  </si>
  <si>
    <t>DrSp_Txt2</t>
  </si>
  <si>
    <t>DrSp_Mass</t>
  </si>
  <si>
    <t>DrSp_Res1</t>
  </si>
  <si>
    <t>DrSp_Res2</t>
  </si>
  <si>
    <t>DrSp_Skala1</t>
  </si>
  <si>
    <t>DrSp_Höchst</t>
  </si>
  <si>
    <t>ErGe_Txt1</t>
  </si>
  <si>
    <t>ErGe_Txt2</t>
  </si>
  <si>
    <t>ErGe_Mass</t>
  </si>
  <si>
    <t>ErGe_Res1</t>
  </si>
  <si>
    <t>ErGe_Res2</t>
  </si>
  <si>
    <t>ErGe_Höchst</t>
  </si>
  <si>
    <t>ZwGe_Txt1</t>
  </si>
  <si>
    <t>ZwGe_Txt2</t>
  </si>
  <si>
    <t>ZwGe_Res1</t>
  </si>
  <si>
    <t>ZwGe_Res2</t>
  </si>
  <si>
    <t>ZwGe_Höchst</t>
  </si>
  <si>
    <t>DrGe_Txt1</t>
  </si>
  <si>
    <t>DrGe_Txt2</t>
  </si>
  <si>
    <t>DrGe_Mass</t>
  </si>
  <si>
    <t>DrGe_Res1</t>
  </si>
  <si>
    <t>DrGe_Res2</t>
  </si>
  <si>
    <t>DrGe_Höchst</t>
  </si>
  <si>
    <t>ZwGe_Mass</t>
  </si>
  <si>
    <t>[ErGe</t>
  </si>
  <si>
    <t>[ZwGe</t>
  </si>
  <si>
    <t>[DrGe</t>
  </si>
  <si>
    <t>[ErSp</t>
  </si>
  <si>
    <t>[ZwSp</t>
  </si>
  <si>
    <t>[DrSp</t>
  </si>
  <si>
    <t>_Txt1]</t>
  </si>
  <si>
    <t>_Höchst]</t>
  </si>
  <si>
    <t>_Res2]</t>
  </si>
  <si>
    <t>_Skala2]</t>
  </si>
  <si>
    <t>Position</t>
  </si>
  <si>
    <t>BS_1_Pos</t>
  </si>
  <si>
    <t>Pos]</t>
  </si>
  <si>
    <t>BS_2_Pos</t>
  </si>
  <si>
    <t>BS_3_Pos</t>
  </si>
  <si>
    <t>BS_4_Pos</t>
  </si>
  <si>
    <t>Kantone[Position]</t>
  </si>
  <si>
    <t>Schulgemeinden</t>
  </si>
  <si>
    <t>[BS_3]</t>
  </si>
  <si>
    <t>Zw'beste</t>
  </si>
  <si>
    <t>Dr'beste</t>
  </si>
  <si>
    <t>BS.1</t>
  </si>
  <si>
    <t>BS.2</t>
  </si>
  <si>
    <t>BS.3</t>
  </si>
  <si>
    <t>BS.4</t>
  </si>
  <si>
    <t>BS.5</t>
  </si>
  <si>
    <t>BS.6</t>
  </si>
  <si>
    <t>Parkour_Txt1</t>
  </si>
  <si>
    <t>BS_1_Anz</t>
  </si>
  <si>
    <t>BS_4_Anz</t>
  </si>
  <si>
    <t>Skala-Wert in $AV$1</t>
  </si>
  <si>
    <t>inaktiviert</t>
  </si>
  <si>
    <t>BS_2_Erfüllt</t>
  </si>
  <si>
    <t>2D</t>
  </si>
  <si>
    <t>0-Fall</t>
  </si>
  <si>
    <t>nur 1 D</t>
  </si>
  <si>
    <t>nur 1 #</t>
  </si>
  <si>
    <t>Max</t>
  </si>
  <si>
    <t>1 # / 1 D</t>
  </si>
  <si>
    <t>2 #</t>
  </si>
  <si>
    <t>UzD?</t>
  </si>
  <si>
    <t>UzD!</t>
  </si>
  <si>
    <t>ErGe!</t>
  </si>
  <si>
    <t>ZwGe!</t>
  </si>
  <si>
    <t>ErSp!</t>
  </si>
  <si>
    <t>ZwSp!</t>
  </si>
  <si>
    <t>DIPLOM</t>
  </si>
  <si>
    <t>OBLIGATORISCHE KOMPETENZBEREICHE</t>
  </si>
  <si>
    <t>FORMATIVE BEURTEILUNG</t>
  </si>
  <si>
    <t>BS_2_AnzGer</t>
  </si>
  <si>
    <t>BS_2_Park</t>
  </si>
  <si>
    <t>ErSp_Txt3</t>
  </si>
  <si>
    <t>_Txt3]</t>
  </si>
  <si>
    <t>ZwSp_Txt3</t>
  </si>
  <si>
    <t>DrSp_Txt3</t>
  </si>
  <si>
    <t>max. __ Punkte</t>
  </si>
  <si>
    <t>ErGe_Txt3</t>
  </si>
  <si>
    <t>ZwGe_Txt3</t>
  </si>
  <si>
    <t>DrGe_Txt3</t>
  </si>
  <si>
    <t>BS_3_Txt0</t>
  </si>
  <si>
    <t>BS_3_Txt1</t>
  </si>
  <si>
    <t>BS_3_Txt2</t>
  </si>
  <si>
    <t>Txt0]</t>
  </si>
  <si>
    <t>Txt2]</t>
  </si>
  <si>
    <t>Sprint001</t>
  </si>
  <si>
    <t>Ausdauer001</t>
  </si>
  <si>
    <t>Sprung001</t>
  </si>
  <si>
    <t>Wurf001</t>
  </si>
  <si>
    <t>GemStufe_JN</t>
  </si>
  <si>
    <t>MaxTextSt1</t>
  </si>
  <si>
    <t>MaxTextSt2</t>
  </si>
  <si>
    <t xml:space="preserve"> gem. Stufe</t>
  </si>
  <si>
    <r>
      <rPr>
        <sz val="11"/>
        <color rgb="FFC00000"/>
        <rFont val="Bahnschrift SemiBold"/>
        <family val="2"/>
      </rPr>
      <t xml:space="preserve">Schuljahr
</t>
    </r>
    <r>
      <rPr>
        <sz val="11"/>
        <color rgb="FFC00000"/>
        <rFont val="Bahnschrift"/>
        <family val="2"/>
      </rPr>
      <t xml:space="preserve">. </t>
    </r>
    <r>
      <rPr>
        <u/>
        <sz val="11"/>
        <color rgb="FFC00000"/>
        <rFont val="Bahnschrift"/>
        <family val="2"/>
      </rPr>
      <t>Standard:</t>
    </r>
    <r>
      <rPr>
        <sz val="11"/>
        <color rgb="FFC00000"/>
        <rFont val="Bahnschrift"/>
        <family val="2"/>
      </rPr>
      <t xml:space="preserve"> aus Vorgabeliste wählen
. </t>
    </r>
    <r>
      <rPr>
        <u/>
        <sz val="11"/>
        <color rgb="FFC00000"/>
        <rFont val="Bahnschrift"/>
        <family val="2"/>
      </rPr>
      <t>Alternative:</t>
    </r>
    <r>
      <rPr>
        <sz val="11"/>
        <color rgb="FFC00000"/>
        <rFont val="Bahnschrift"/>
        <family val="2"/>
      </rPr>
      <t xml:space="preserve"> Falls gewünschtes
  Schuljahr nicht in Liste enthalten:
  Jahreszahlen in untenstehender
  Zelle manuell eintragen, erscheinen
  anschliessend an unterster Position
  in Liste und können ausgewählt
  werden</t>
    </r>
  </si>
  <si>
    <r>
      <rPr>
        <sz val="11"/>
        <color rgb="FFC00000"/>
        <rFont val="Bahnschrift SemiBold"/>
        <family val="2"/>
      </rPr>
      <t>Je SuS: Beleg abspeichern möglich</t>
    </r>
    <r>
      <rPr>
        <sz val="11"/>
        <color rgb="FFC00000"/>
        <rFont val="Bahnschrift"/>
        <family val="2"/>
      </rPr>
      <t xml:space="preserve">
über «Microsoft Print to PDF»
(unter «Drucker» auswählen im Druckmenü)</t>
    </r>
  </si>
  <si>
    <r>
      <rPr>
        <sz val="11"/>
        <color rgb="FFC00000"/>
        <rFont val="Bahnschrift SemiBold"/>
        <family val="2"/>
      </rPr>
      <t>Drucken über Druckmenü im Excel</t>
    </r>
    <r>
      <rPr>
        <sz val="11"/>
        <color rgb="FFC00000"/>
        <rFont val="Bahnschrift"/>
        <family val="2"/>
      </rPr>
      <t xml:space="preserve">
</t>
    </r>
    <r>
      <rPr>
        <u/>
        <sz val="11"/>
        <color rgb="FFC00000"/>
        <rFont val="Bahnschrift"/>
        <family val="2"/>
      </rPr>
      <t>Hinweis:</t>
    </r>
    <r>
      <rPr>
        <sz val="11"/>
        <color rgb="FFC00000"/>
        <rFont val="Bahnschrift"/>
        <family val="2"/>
      </rPr>
      <t xml:space="preserve"> Graue Positionsrahmen bei
Grafiken erscheinen nicht im Druck</t>
    </r>
  </si>
  <si>
    <t>Vorgehen für LP</t>
  </si>
  <si>
    <t>Je SuS: Zutreffenden Text jeweils neu
aus Vorgabeliste auswählen</t>
  </si>
  <si>
    <r>
      <rPr>
        <sz val="11"/>
        <color rgb="FFC00000"/>
        <rFont val="Bahnschrift SemiBold"/>
        <family val="2"/>
      </rPr>
      <t>Je SuS: Bemerkungen jeweils neu
manuell eintragen</t>
    </r>
    <r>
      <rPr>
        <sz val="11"/>
        <color rgb="FFC00000"/>
        <rFont val="Bahnschrift"/>
        <family val="2"/>
      </rPr>
      <t xml:space="preserve">
(Zeilenumbruch mit Alt + Enter)
</t>
    </r>
    <r>
      <rPr>
        <u/>
        <sz val="11"/>
        <color rgb="FFC00000"/>
        <rFont val="Bahnschrift"/>
        <family val="2"/>
      </rPr>
      <t>Hinweis:</t>
    </r>
    <r>
      <rPr>
        <sz val="11"/>
        <color rgb="FFC00000"/>
        <rFont val="Bahnschrift"/>
        <family val="2"/>
      </rPr>
      <t xml:space="preserve"> Text muss je SuS zuerst
manuell gelöscht werden</t>
    </r>
  </si>
  <si>
    <r>
      <rPr>
        <sz val="11"/>
        <color rgb="FFC00000"/>
        <rFont val="Bahnschrift SemiBold"/>
        <family val="2"/>
      </rPr>
      <t xml:space="preserve">Je SuS: Nummer wählen
</t>
    </r>
    <r>
      <rPr>
        <sz val="11"/>
        <color rgb="FFC00000"/>
        <rFont val="Bahnschrift"/>
        <family val="2"/>
      </rPr>
      <t>Vorname/Name sowie Disziplinen/
Resultate/Medaillen erscheinen
automatisch</t>
    </r>
  </si>
  <si>
    <r>
      <rPr>
        <sz val="11"/>
        <color rgb="FFC00000"/>
        <rFont val="Bahnschrift SemiBold"/>
        <family val="2"/>
      </rPr>
      <t xml:space="preserve">Unterschrift
</t>
    </r>
    <r>
      <rPr>
        <sz val="11"/>
        <color rgb="FFC00000"/>
        <rFont val="Bahnschrift"/>
        <family val="2"/>
      </rPr>
      <t xml:space="preserve">. </t>
    </r>
    <r>
      <rPr>
        <u/>
        <sz val="11"/>
        <color rgb="FFC00000"/>
        <rFont val="Bahnschrift"/>
        <family val="2"/>
      </rPr>
      <t>Variante 1:</t>
    </r>
    <r>
      <rPr>
        <sz val="11"/>
        <color rgb="FFC00000"/>
        <rFont val="Bahnschrift"/>
        <family val="2"/>
      </rPr>
      <t xml:space="preserve"> ausdrucken und von Hand
  unterschreiben
. </t>
    </r>
    <r>
      <rPr>
        <u/>
        <sz val="11"/>
        <color rgb="FFC00000"/>
        <rFont val="Bahnschrift"/>
        <family val="2"/>
      </rPr>
      <t>Variante 2:</t>
    </r>
    <r>
      <rPr>
        <sz val="11"/>
        <color rgb="FFC00000"/>
        <rFont val="Bahnschrift"/>
        <family val="2"/>
      </rPr>
      <t xml:space="preserve"> Falls Unterschrift mittels
  Grafikdatei (JPG, BMP usw.) eingefügt
  werden soll: Grafik in Tabellenblatt
  «Diplom_Unterschrift» in eingerahmte
  Zelle kopieren oder dort via Menüband
  «Einfügen»/«Grafik» einfügen. Grafik
  kann skaliert und positioniert werden
  gemäss Hinweisen in Tabellenblatt
  «Diplom_Unterschrift».</t>
    </r>
  </si>
  <si>
    <r>
      <rPr>
        <sz val="11"/>
        <color rgb="FFC00000"/>
        <rFont val="Bahnschrift SemiBold"/>
        <family val="2"/>
      </rPr>
      <t xml:space="preserve">Hinweise für die Handhabung der Unterschriftsgrafik
</t>
    </r>
    <r>
      <rPr>
        <sz val="11"/>
        <color rgb="FFC00000"/>
        <rFont val="Bahnschrift"/>
        <family val="2"/>
      </rPr>
      <t>. Die eingerahmte Zelle für die Unterschrift soll in der Grösse
  nicht verändert werden, da die Unterschrift sonst auf dem
  Diplom verzerrt erscheint.
. Wenn die Unterschrift von der Grösse her nicht in die
  eingerahmte Zelle passt, die Unterschrift in nebenstehenden
  freien Raum unterhalb der eingerahmten Zelle kopieren/
  einfügen und in der Grösse verringern (skalieren), bis sie
  in die eingerahmte Zelle passt.
. Skalieren ohne Verzerren: Grafik mit Maus an einem der
  Eckpunkte fassen und mit Shift + linke Maustaste auf Grösse
  stauchen, anschliessend in die eingerahmte Zelle verschieben.
. Grafik kann innerhalb der eingerahmten Zelle verschoben
  werden, um die vertikale und die horizontale Position
  der Unterschrift auf dem Diplom zu optimieren.</t>
    </r>
  </si>
  <si>
    <t>Version: 3.1, 06-2022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</si>
</sst>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807]d/\ mmmm\ yyyy;@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1"/>
      <name val="Wingdings"/>
      <charset val="2"/>
    </font>
    <font>
      <b/>
      <sz val="9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2" tint="-0.249977111117893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Bahnschrift"/>
      <family val="2"/>
    </font>
    <font>
      <b/>
      <sz val="16"/>
      <color theme="1"/>
      <name val="Bahnschrift"/>
      <family val="2"/>
    </font>
    <font>
      <sz val="16"/>
      <color theme="1"/>
      <name val="Bahnschrift"/>
      <family val="2"/>
    </font>
    <font>
      <sz val="11"/>
      <color theme="0"/>
      <name val="Bahnschrift"/>
      <family val="2"/>
    </font>
    <font>
      <sz val="14"/>
      <color theme="1"/>
      <name val="Bahnschrift"/>
      <family val="2"/>
    </font>
    <font>
      <sz val="11"/>
      <color rgb="FFC00000"/>
      <name val="Bahnschrift"/>
      <family val="2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6"/>
      <name val="Bahnschrift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Bahnschrift"/>
      <family val="2"/>
    </font>
    <font>
      <sz val="12"/>
      <color theme="0"/>
      <name val="Bahnschrift"/>
      <family val="2"/>
    </font>
    <font>
      <b/>
      <sz val="16"/>
      <color rgb="FFC00000"/>
      <name val="Bahnschrift"/>
      <family val="2"/>
    </font>
    <font>
      <sz val="10"/>
      <color rgb="FF000000"/>
      <name val="Calibri"/>
      <family val="2"/>
      <scheme val="minor"/>
    </font>
    <font>
      <sz val="9"/>
      <color indexed="81"/>
      <name val="Tahoma"/>
      <family val="2"/>
    </font>
    <font>
      <sz val="9"/>
      <color theme="1"/>
      <name val="Bahnschrift"/>
      <family val="2"/>
    </font>
    <font>
      <sz val="9"/>
      <name val="Bahnschrift"/>
      <family val="2"/>
    </font>
    <font>
      <sz val="8"/>
      <color rgb="FF000000"/>
      <name val="Bahnschrift"/>
      <family val="2"/>
    </font>
    <font>
      <b/>
      <sz val="9"/>
      <color theme="0"/>
      <name val="Calibri"/>
      <family val="2"/>
      <scheme val="minor"/>
    </font>
    <font>
      <sz val="6"/>
      <color theme="1"/>
      <name val="Bahnschrift"/>
      <family val="2"/>
    </font>
    <font>
      <b/>
      <sz val="9"/>
      <color rgb="FF0070C0"/>
      <name val="Calibri"/>
      <family val="2"/>
      <scheme val="minor"/>
    </font>
    <font>
      <b/>
      <sz val="16"/>
      <color rgb="FFCC9933"/>
      <name val="Bahnschrift"/>
      <family val="2"/>
    </font>
    <font>
      <sz val="18"/>
      <color theme="1"/>
      <name val="Bahnschrift"/>
      <family val="2"/>
    </font>
    <font>
      <sz val="48"/>
      <color rgb="FFFF0000"/>
      <name val="Bahnschrift SemiBold"/>
      <family val="2"/>
    </font>
    <font>
      <sz val="11"/>
      <color rgb="FFC00000"/>
      <name val="Bahnschrift SemiBold"/>
      <family val="2"/>
    </font>
    <font>
      <sz val="14"/>
      <color rgb="FFC00000"/>
      <name val="Bahnschrift SemiBold"/>
      <family val="2"/>
    </font>
    <font>
      <u/>
      <sz val="11"/>
      <color rgb="FFC00000"/>
      <name val="Bahnschrift"/>
      <family val="2"/>
    </font>
  </fonts>
  <fills count="1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rgb="FFAAAAAA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rgb="FFCC9933"/>
      </left>
      <right/>
      <top style="thick">
        <color rgb="FFCC9933"/>
      </top>
      <bottom/>
      <diagonal/>
    </border>
    <border>
      <left/>
      <right/>
      <top style="thick">
        <color rgb="FFCC9933"/>
      </top>
      <bottom/>
      <diagonal/>
    </border>
    <border>
      <left/>
      <right style="thick">
        <color rgb="FFCC9933"/>
      </right>
      <top style="thick">
        <color rgb="FFCC9933"/>
      </top>
      <bottom/>
      <diagonal/>
    </border>
    <border>
      <left style="thick">
        <color rgb="FFCC9933"/>
      </left>
      <right/>
      <top/>
      <bottom/>
      <diagonal/>
    </border>
    <border>
      <left/>
      <right style="thick">
        <color rgb="FFCC9933"/>
      </right>
      <top/>
      <bottom/>
      <diagonal/>
    </border>
    <border>
      <left style="thick">
        <color rgb="FFCC9933"/>
      </left>
      <right/>
      <top/>
      <bottom style="thick">
        <color rgb="FFCC9933"/>
      </bottom>
      <diagonal/>
    </border>
    <border>
      <left/>
      <right/>
      <top/>
      <bottom style="thick">
        <color rgb="FFCC9933"/>
      </bottom>
      <diagonal/>
    </border>
    <border>
      <left/>
      <right style="thick">
        <color rgb="FFCC9933"/>
      </right>
      <top/>
      <bottom style="thick">
        <color rgb="FFCC9933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</borders>
  <cellStyleXfs count="1">
    <xf numFmtId="0" fontId="0" fillId="0" borderId="0"/>
  </cellStyleXfs>
  <cellXfs count="600">
    <xf numFmtId="0" fontId="0" fillId="0" borderId="0" xfId="0"/>
    <xf numFmtId="0" fontId="1" fillId="0" borderId="0" xfId="0" applyFont="1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Border="1"/>
    <xf numFmtId="0" fontId="0" fillId="0" borderId="0" xfId="0" applyBorder="1"/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" fontId="1" fillId="0" borderId="0" xfId="0" applyNumberFormat="1" applyFont="1" applyBorder="1" applyAlignment="1">
      <alignment horizontal="left"/>
    </xf>
    <xf numFmtId="0" fontId="0" fillId="0" borderId="0" xfId="0" applyProtection="1"/>
    <xf numFmtId="0" fontId="0" fillId="0" borderId="0" xfId="0" applyNumberForma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0" fillId="4" borderId="0" xfId="0" applyFill="1" applyProtection="1"/>
    <xf numFmtId="0" fontId="0" fillId="0" borderId="0" xfId="0" applyFill="1" applyProtection="1"/>
    <xf numFmtId="0" fontId="7" fillId="3" borderId="0" xfId="0" applyFont="1" applyFill="1" applyProtection="1"/>
    <xf numFmtId="0" fontId="0" fillId="3" borderId="0" xfId="0" applyFill="1" applyProtection="1"/>
    <xf numFmtId="0" fontId="4" fillId="3" borderId="0" xfId="0" applyFont="1" applyFill="1" applyProtection="1"/>
    <xf numFmtId="0" fontId="2" fillId="0" borderId="0" xfId="0" applyFont="1" applyProtection="1"/>
    <xf numFmtId="0" fontId="6" fillId="0" borderId="0" xfId="0" applyFont="1" applyProtection="1"/>
    <xf numFmtId="0" fontId="4" fillId="0" borderId="0" xfId="0" applyFont="1" applyProtection="1"/>
    <xf numFmtId="0" fontId="8" fillId="4" borderId="0" xfId="0" applyFont="1" applyFill="1" applyProtection="1"/>
    <xf numFmtId="164" fontId="0" fillId="0" borderId="0" xfId="0" applyNumberFormat="1" applyAlignment="1" applyProtection="1">
      <alignment horizontal="left"/>
    </xf>
    <xf numFmtId="0" fontId="3" fillId="0" borderId="0" xfId="0" applyFont="1" applyProtection="1"/>
    <xf numFmtId="0" fontId="0" fillId="0" borderId="0" xfId="0" applyBorder="1" applyProtection="1"/>
    <xf numFmtId="0" fontId="5" fillId="4" borderId="0" xfId="0" applyFont="1" applyFill="1" applyProtection="1"/>
    <xf numFmtId="0" fontId="5" fillId="0" borderId="0" xfId="0" applyFont="1" applyBorder="1" applyAlignment="1" applyProtection="1">
      <alignment horizontal="left" vertical="center"/>
    </xf>
    <xf numFmtId="0" fontId="0" fillId="0" borderId="0" xfId="0" applyNumberFormat="1" applyAlignment="1" applyProtection="1">
      <alignment horizontal="left"/>
    </xf>
    <xf numFmtId="2" fontId="5" fillId="0" borderId="0" xfId="0" applyNumberFormat="1" applyFont="1" applyAlignment="1" applyProtection="1">
      <alignment horizontal="left"/>
      <protection locked="0"/>
    </xf>
    <xf numFmtId="0" fontId="5" fillId="0" borderId="0" xfId="0" applyFont="1" applyProtection="1"/>
    <xf numFmtId="0" fontId="5" fillId="0" borderId="0" xfId="0" applyFont="1" applyAlignment="1" applyProtection="1">
      <alignment shrinkToFit="1"/>
    </xf>
    <xf numFmtId="0" fontId="0" fillId="0" borderId="0" xfId="0" applyNumberFormat="1" applyAlignment="1" applyProtection="1"/>
    <xf numFmtId="0" fontId="11" fillId="0" borderId="0" xfId="0" applyFont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11" fillId="0" borderId="0" xfId="0" applyFont="1" applyProtection="1"/>
    <xf numFmtId="0" fontId="5" fillId="0" borderId="0" xfId="0" applyFont="1" applyFill="1" applyProtection="1"/>
    <xf numFmtId="2" fontId="0" fillId="0" borderId="0" xfId="0" applyNumberFormat="1" applyAlignment="1" applyProtection="1">
      <alignment horizontal="left"/>
    </xf>
    <xf numFmtId="0" fontId="12" fillId="0" borderId="0" xfId="0" applyFont="1" applyAlignment="1" applyProtection="1">
      <alignment vertical="center"/>
    </xf>
    <xf numFmtId="0" fontId="0" fillId="0" borderId="0" xfId="0" applyFont="1" applyProtection="1"/>
    <xf numFmtId="0" fontId="1" fillId="0" borderId="6" xfId="0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left" vertical="center"/>
    </xf>
    <xf numFmtId="0" fontId="0" fillId="0" borderId="6" xfId="0" applyFill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center" vertical="center"/>
    </xf>
    <xf numFmtId="0" fontId="11" fillId="4" borderId="0" xfId="0" applyFont="1" applyFill="1" applyAlignment="1" applyProtection="1">
      <alignment horizontal="right" vertical="center"/>
    </xf>
    <xf numFmtId="0" fontId="14" fillId="0" borderId="0" xfId="0" applyFont="1" applyAlignment="1" applyProtection="1">
      <alignment vertical="center"/>
    </xf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164" fontId="0" fillId="0" borderId="1" xfId="0" applyNumberFormat="1" applyBorder="1" applyAlignment="1" applyProtection="1">
      <alignment horizontal="center"/>
    </xf>
    <xf numFmtId="1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0" fontId="1" fillId="0" borderId="0" xfId="0" applyFont="1" applyBorder="1" applyAlignment="1">
      <alignment horizontal="center"/>
    </xf>
    <xf numFmtId="0" fontId="0" fillId="7" borderId="17" xfId="0" applyFont="1" applyFill="1" applyBorder="1"/>
    <xf numFmtId="0" fontId="5" fillId="0" borderId="0" xfId="0" applyFont="1"/>
    <xf numFmtId="0" fontId="5" fillId="0" borderId="0" xfId="0" applyFont="1" applyAlignment="1" applyProtection="1">
      <alignment horizontal="center" shrinkToFit="1"/>
    </xf>
    <xf numFmtId="0" fontId="5" fillId="4" borderId="0" xfId="0" applyNumberFormat="1" applyFont="1" applyFill="1" applyProtection="1"/>
    <xf numFmtId="0" fontId="5" fillId="0" borderId="0" xfId="0" applyNumberFormat="1" applyFont="1" applyFill="1" applyProtection="1"/>
    <xf numFmtId="0" fontId="5" fillId="0" borderId="0" xfId="0" applyNumberFormat="1" applyFont="1" applyProtection="1"/>
    <xf numFmtId="0" fontId="5" fillId="0" borderId="0" xfId="0" applyNumberFormat="1" applyFont="1" applyAlignment="1" applyProtection="1">
      <alignment shrinkToFit="1"/>
    </xf>
    <xf numFmtId="0" fontId="5" fillId="0" borderId="0" xfId="0" applyNumberFormat="1" applyFont="1" applyAlignment="1" applyProtection="1">
      <alignment horizontal="center" shrinkToFit="1"/>
    </xf>
    <xf numFmtId="0" fontId="4" fillId="6" borderId="18" xfId="0" applyFont="1" applyFill="1" applyBorder="1"/>
    <xf numFmtId="0" fontId="0" fillId="0" borderId="19" xfId="0" applyFont="1" applyBorder="1"/>
    <xf numFmtId="0" fontId="0" fillId="7" borderId="0" xfId="0" applyFont="1" applyFill="1" applyBorder="1"/>
    <xf numFmtId="0" fontId="0" fillId="7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1" fontId="0" fillId="0" borderId="0" xfId="0" applyNumberFormat="1" applyAlignment="1">
      <alignment horizontal="left"/>
    </xf>
    <xf numFmtId="0" fontId="16" fillId="8" borderId="0" xfId="0" applyFont="1" applyFill="1" applyBorder="1"/>
    <xf numFmtId="0" fontId="2" fillId="0" borderId="20" xfId="0" applyFont="1" applyBorder="1" applyProtection="1"/>
    <xf numFmtId="1" fontId="5" fillId="0" borderId="0" xfId="0" applyNumberFormat="1" applyFont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0" fontId="0" fillId="0" borderId="0" xfId="0" applyFill="1" applyBorder="1"/>
    <xf numFmtId="0" fontId="20" fillId="0" borderId="0" xfId="0" applyFont="1"/>
    <xf numFmtId="0" fontId="0" fillId="4" borderId="0" xfId="0" applyFill="1" applyAlignment="1" applyProtection="1">
      <alignment horizontal="left" vertical="top"/>
    </xf>
    <xf numFmtId="0" fontId="0" fillId="0" borderId="0" xfId="0" applyFill="1" applyAlignment="1" applyProtection="1">
      <alignment horizontal="left" vertical="top"/>
    </xf>
    <xf numFmtId="0" fontId="0" fillId="0" borderId="8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6" fillId="4" borderId="0" xfId="0" applyFont="1" applyFill="1" applyAlignment="1" applyProtection="1">
      <alignment horizontal="left" vertical="top"/>
    </xf>
    <xf numFmtId="0" fontId="5" fillId="9" borderId="15" xfId="0" applyFont="1" applyFill="1" applyBorder="1" applyProtection="1"/>
    <xf numFmtId="0" fontId="5" fillId="9" borderId="14" xfId="0" applyNumberFormat="1" applyFont="1" applyFill="1" applyBorder="1" applyProtection="1"/>
    <xf numFmtId="0" fontId="1" fillId="0" borderId="0" xfId="0" applyFont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4" fontId="0" fillId="0" borderId="17" xfId="0" applyNumberFormat="1" applyFont="1" applyFill="1" applyBorder="1" applyAlignment="1">
      <alignment horizontal="left"/>
    </xf>
    <xf numFmtId="164" fontId="0" fillId="0" borderId="21" xfId="0" applyNumberFormat="1" applyFont="1" applyFill="1" applyBorder="1" applyAlignment="1">
      <alignment horizontal="left"/>
    </xf>
    <xf numFmtId="164" fontId="1" fillId="0" borderId="0" xfId="0" applyNumberFormat="1" applyFont="1" applyAlignment="1" applyProtection="1">
      <alignment horizontal="left"/>
    </xf>
    <xf numFmtId="164" fontId="0" fillId="0" borderId="0" xfId="0" applyNumberFormat="1" applyFont="1" applyAlignment="1" applyProtection="1">
      <alignment horizontal="left"/>
    </xf>
    <xf numFmtId="0" fontId="15" fillId="0" borderId="6" xfId="0" applyFont="1" applyBorder="1" applyAlignment="1" applyProtection="1">
      <alignment horizontal="center" vertical="center"/>
    </xf>
    <xf numFmtId="2" fontId="0" fillId="0" borderId="0" xfId="0" applyNumberFormat="1" applyFont="1" applyAlignment="1" applyProtection="1">
      <alignment horizontal="left"/>
    </xf>
    <xf numFmtId="0" fontId="1" fillId="0" borderId="0" xfId="0" applyFont="1" applyBorder="1" applyAlignment="1">
      <alignment horizontal="center"/>
    </xf>
    <xf numFmtId="0" fontId="5" fillId="0" borderId="0" xfId="0" applyFont="1" applyFill="1"/>
    <xf numFmtId="2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" fontId="0" fillId="0" borderId="0" xfId="0" applyNumberFormat="1" applyFont="1" applyAlignment="1">
      <alignment horizontal="left"/>
    </xf>
    <xf numFmtId="164" fontId="0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>
      <alignment horizontal="left"/>
    </xf>
    <xf numFmtId="2" fontId="0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left" vertical="center" wrapText="1"/>
    </xf>
    <xf numFmtId="2" fontId="24" fillId="0" borderId="0" xfId="0" applyNumberFormat="1" applyFont="1" applyBorder="1" applyAlignment="1">
      <alignment horizontal="left" vertical="center" wrapText="1"/>
    </xf>
    <xf numFmtId="2" fontId="24" fillId="0" borderId="0" xfId="0" applyNumberFormat="1" applyFont="1" applyAlignment="1">
      <alignment horizontal="left" vertical="center" wrapText="1"/>
    </xf>
    <xf numFmtId="1" fontId="24" fillId="0" borderId="0" xfId="0" applyNumberFormat="1" applyFont="1" applyBorder="1" applyAlignment="1">
      <alignment horizontal="left" vertical="center" wrapText="1"/>
    </xf>
    <xf numFmtId="1" fontId="24" fillId="0" borderId="0" xfId="0" applyNumberFormat="1" applyFont="1" applyAlignment="1">
      <alignment horizontal="left" vertical="center" wrapText="1"/>
    </xf>
    <xf numFmtId="164" fontId="24" fillId="0" borderId="0" xfId="0" applyNumberFormat="1" applyFont="1" applyBorder="1" applyAlignment="1">
      <alignment horizontal="left" vertical="center" wrapText="1"/>
    </xf>
    <xf numFmtId="164" fontId="21" fillId="0" borderId="0" xfId="0" applyNumberFormat="1" applyFont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horizontal="left" vertical="top"/>
    </xf>
    <xf numFmtId="0" fontId="24" fillId="0" borderId="0" xfId="0" applyFont="1" applyFill="1" applyAlignment="1">
      <alignment horizontal="left" vertical="top" wrapText="1"/>
    </xf>
    <xf numFmtId="2" fontId="24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top" wrapText="1"/>
    </xf>
    <xf numFmtId="2" fontId="24" fillId="0" borderId="0" xfId="0" applyNumberFormat="1" applyFont="1" applyFill="1" applyBorder="1" applyAlignment="1">
      <alignment horizontal="left" vertical="top" wrapText="1"/>
    </xf>
    <xf numFmtId="164" fontId="0" fillId="0" borderId="0" xfId="0" applyNumberFormat="1" applyFont="1" applyFill="1" applyAlignment="1">
      <alignment horizontal="left"/>
    </xf>
    <xf numFmtId="1" fontId="0" fillId="0" borderId="0" xfId="0" applyNumberFormat="1" applyFont="1" applyFill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164" fontId="20" fillId="0" borderId="0" xfId="0" applyNumberFormat="1" applyFont="1" applyFill="1" applyAlignment="1">
      <alignment horizontal="left"/>
    </xf>
    <xf numFmtId="164" fontId="20" fillId="0" borderId="0" xfId="0" applyNumberFormat="1" applyFont="1" applyFill="1" applyBorder="1" applyAlignment="1">
      <alignment horizontal="left"/>
    </xf>
    <xf numFmtId="2" fontId="25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top" wrapText="1"/>
    </xf>
    <xf numFmtId="2" fontId="25" fillId="0" borderId="0" xfId="0" applyNumberFormat="1" applyFont="1" applyFill="1" applyBorder="1" applyAlignment="1">
      <alignment horizontal="left" vertical="top" wrapText="1"/>
    </xf>
    <xf numFmtId="0" fontId="0" fillId="0" borderId="6" xfId="0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left" vertical="center"/>
    </xf>
    <xf numFmtId="0" fontId="5" fillId="9" borderId="0" xfId="0" applyFont="1" applyFill="1" applyAlignment="1" applyProtection="1">
      <alignment horizontal="left"/>
    </xf>
    <xf numFmtId="0" fontId="5" fillId="9" borderId="0" xfId="0" applyNumberFormat="1" applyFont="1" applyFill="1" applyBorder="1" applyAlignment="1" applyProtection="1">
      <alignment horizontal="right"/>
    </xf>
    <xf numFmtId="0" fontId="5" fillId="9" borderId="0" xfId="0" applyNumberFormat="1" applyFont="1" applyFill="1" applyAlignment="1" applyProtection="1">
      <alignment horizontal="left"/>
    </xf>
    <xf numFmtId="0" fontId="10" fillId="0" borderId="9" xfId="0" applyFont="1" applyBorder="1" applyAlignment="1" applyProtection="1">
      <alignment horizontal="center" vertical="center" wrapText="1"/>
    </xf>
    <xf numFmtId="0" fontId="26" fillId="0" borderId="1" xfId="0" applyNumberFormat="1" applyFont="1" applyFill="1" applyBorder="1" applyAlignment="1" applyProtection="1">
      <alignment vertical="center"/>
    </xf>
    <xf numFmtId="0" fontId="0" fillId="5" borderId="0" xfId="0" applyFill="1" applyProtection="1"/>
    <xf numFmtId="0" fontId="5" fillId="5" borderId="15" xfId="0" applyFont="1" applyFill="1" applyBorder="1" applyProtection="1"/>
    <xf numFmtId="0" fontId="5" fillId="5" borderId="14" xfId="0" applyNumberFormat="1" applyFont="1" applyFill="1" applyBorder="1" applyProtection="1"/>
    <xf numFmtId="0" fontId="21" fillId="5" borderId="0" xfId="0" applyFont="1" applyFill="1" applyBorder="1" applyAlignment="1" applyProtection="1">
      <alignment vertical="top"/>
    </xf>
    <xf numFmtId="0" fontId="5" fillId="9" borderId="0" xfId="0" applyFont="1" applyFill="1" applyBorder="1" applyAlignment="1" applyProtection="1">
      <alignment horizontal="center" vertical="center"/>
    </xf>
    <xf numFmtId="0" fontId="5" fillId="9" borderId="0" xfId="0" applyFont="1" applyFill="1" applyProtection="1"/>
    <xf numFmtId="0" fontId="5" fillId="9" borderId="0" xfId="0" applyNumberFormat="1" applyFont="1" applyFill="1" applyProtection="1"/>
    <xf numFmtId="0" fontId="0" fillId="0" borderId="5" xfId="0" applyBorder="1" applyAlignment="1" applyProtection="1">
      <alignment vertical="center"/>
    </xf>
    <xf numFmtId="0" fontId="5" fillId="9" borderId="0" xfId="0" applyFont="1" applyFill="1" applyBorder="1" applyProtection="1"/>
    <xf numFmtId="0" fontId="5" fillId="9" borderId="0" xfId="0" applyNumberFormat="1" applyFont="1" applyFill="1" applyBorder="1" applyProtection="1"/>
    <xf numFmtId="0" fontId="0" fillId="9" borderId="14" xfId="0" applyFill="1" applyBorder="1" applyProtection="1"/>
    <xf numFmtId="0" fontId="12" fillId="0" borderId="0" xfId="0" applyFont="1" applyAlignment="1" applyProtection="1"/>
    <xf numFmtId="0" fontId="12" fillId="0" borderId="0" xfId="0" applyFont="1" applyAlignment="1" applyProtection="1">
      <alignment vertical="top"/>
    </xf>
    <xf numFmtId="1" fontId="0" fillId="0" borderId="0" xfId="0" applyNumberFormat="1" applyBorder="1" applyAlignment="1" applyProtection="1">
      <alignment horizontal="left"/>
    </xf>
    <xf numFmtId="2" fontId="0" fillId="0" borderId="0" xfId="0" applyNumberFormat="1" applyProtection="1"/>
    <xf numFmtId="0" fontId="0" fillId="0" borderId="0" xfId="0" applyAlignment="1">
      <alignment vertical="center"/>
    </xf>
    <xf numFmtId="0" fontId="0" fillId="0" borderId="0" xfId="0" applyAlignment="1"/>
    <xf numFmtId="0" fontId="0" fillId="0" borderId="0" xfId="0" applyNumberFormat="1" applyAlignment="1"/>
    <xf numFmtId="1" fontId="0" fillId="0" borderId="0" xfId="0" applyNumberFormat="1" applyAlignment="1">
      <alignment horizontal="left" vertical="center"/>
    </xf>
    <xf numFmtId="0" fontId="22" fillId="9" borderId="14" xfId="0" applyFont="1" applyFill="1" applyBorder="1" applyAlignment="1" applyProtection="1">
      <alignment horizontal="left" vertical="center"/>
    </xf>
    <xf numFmtId="0" fontId="0" fillId="0" borderId="9" xfId="0" applyBorder="1" applyAlignment="1" applyProtection="1"/>
    <xf numFmtId="2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Alignment="1" applyProtection="1">
      <alignment horizontal="left"/>
    </xf>
    <xf numFmtId="0" fontId="0" fillId="0" borderId="30" xfId="0" applyNumberFormat="1" applyFont="1" applyBorder="1"/>
    <xf numFmtId="0" fontId="0" fillId="0" borderId="17" xfId="0" applyFont="1" applyBorder="1"/>
    <xf numFmtId="0" fontId="0" fillId="0" borderId="17" xfId="0" applyFont="1" applyBorder="1" applyAlignment="1">
      <alignment horizontal="left"/>
    </xf>
    <xf numFmtId="2" fontId="0" fillId="10" borderId="0" xfId="0" applyNumberFormat="1" applyFont="1" applyFill="1" applyAlignment="1">
      <alignment horizontal="left"/>
    </xf>
    <xf numFmtId="164" fontId="0" fillId="10" borderId="0" xfId="0" applyNumberFormat="1" applyFont="1" applyFill="1" applyBorder="1" applyAlignment="1">
      <alignment horizontal="left"/>
    </xf>
    <xf numFmtId="0" fontId="0" fillId="10" borderId="0" xfId="0" applyFont="1" applyFill="1"/>
    <xf numFmtId="0" fontId="0" fillId="0" borderId="0" xfId="0" applyFont="1" applyFill="1"/>
    <xf numFmtId="0" fontId="0" fillId="10" borderId="0" xfId="0" applyFont="1" applyFill="1" applyAlignment="1">
      <alignment horizontal="left" vertical="top"/>
    </xf>
    <xf numFmtId="164" fontId="0" fillId="10" borderId="0" xfId="0" applyNumberFormat="1" applyFill="1" applyBorder="1" applyAlignment="1">
      <alignment horizontal="left"/>
    </xf>
    <xf numFmtId="0" fontId="0" fillId="10" borderId="0" xfId="0" applyFill="1"/>
    <xf numFmtId="1" fontId="0" fillId="10" borderId="0" xfId="0" applyNumberFormat="1" applyFill="1" applyAlignment="1">
      <alignment horizontal="left"/>
    </xf>
    <xf numFmtId="1" fontId="0" fillId="10" borderId="0" xfId="0" applyNumberFormat="1" applyFill="1" applyBorder="1" applyAlignment="1">
      <alignment horizontal="left"/>
    </xf>
    <xf numFmtId="164" fontId="0" fillId="10" borderId="0" xfId="0" applyNumberFormat="1" applyFont="1" applyFill="1" applyAlignment="1">
      <alignment horizontal="left"/>
    </xf>
    <xf numFmtId="1" fontId="0" fillId="10" borderId="0" xfId="0" applyNumberFormat="1" applyFont="1" applyFill="1" applyAlignment="1">
      <alignment horizontal="left"/>
    </xf>
    <xf numFmtId="0" fontId="5" fillId="0" borderId="0" xfId="0" applyFont="1" applyFill="1" applyBorder="1" applyProtection="1"/>
    <xf numFmtId="0" fontId="2" fillId="0" borderId="0" xfId="0" applyFont="1"/>
    <xf numFmtId="0" fontId="0" fillId="0" borderId="0" xfId="0" applyFill="1"/>
    <xf numFmtId="0" fontId="4" fillId="0" borderId="18" xfId="0" applyFont="1" applyFill="1" applyBorder="1"/>
    <xf numFmtId="0" fontId="0" fillId="0" borderId="0" xfId="0" applyFill="1" applyAlignment="1">
      <alignment horizontal="left"/>
    </xf>
    <xf numFmtId="0" fontId="22" fillId="9" borderId="0" xfId="0" applyFont="1" applyFill="1" applyBorder="1" applyAlignment="1" applyProtection="1">
      <alignment horizontal="left"/>
    </xf>
    <xf numFmtId="0" fontId="22" fillId="9" borderId="0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 vertical="center"/>
    </xf>
    <xf numFmtId="0" fontId="22" fillId="9" borderId="14" xfId="0" applyFont="1" applyFill="1" applyBorder="1" applyAlignment="1" applyProtection="1">
      <alignment horizontal="left"/>
    </xf>
    <xf numFmtId="0" fontId="22" fillId="5" borderId="0" xfId="0" applyFont="1" applyFill="1" applyProtection="1"/>
    <xf numFmtId="0" fontId="22" fillId="5" borderId="0" xfId="0" applyFont="1" applyFill="1" applyBorder="1" applyAlignment="1" applyProtection="1">
      <alignment horizontal="left" vertical="center"/>
    </xf>
    <xf numFmtId="0" fontId="21" fillId="5" borderId="0" xfId="0" applyFont="1" applyFill="1" applyAlignment="1" applyProtection="1">
      <alignment vertical="top"/>
    </xf>
    <xf numFmtId="0" fontId="0" fillId="0" borderId="0" xfId="0" applyAlignment="1" applyProtection="1">
      <alignment horizontal="left"/>
    </xf>
    <xf numFmtId="2" fontId="5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left"/>
    </xf>
    <xf numFmtId="1" fontId="0" fillId="0" borderId="0" xfId="0" applyNumberFormat="1" applyAlignment="1" applyProtection="1">
      <alignment horizontal="left"/>
    </xf>
    <xf numFmtId="2" fontId="0" fillId="0" borderId="1" xfId="0" applyNumberFormat="1" applyBorder="1" applyAlignment="1" applyProtection="1">
      <alignment horizontal="center"/>
    </xf>
    <xf numFmtId="2" fontId="0" fillId="0" borderId="0" xfId="0" applyNumberFormat="1" applyFill="1" applyAlignment="1" applyProtection="1">
      <alignment horizontal="left"/>
    </xf>
    <xf numFmtId="1" fontId="5" fillId="4" borderId="0" xfId="0" applyNumberFormat="1" applyFont="1" applyFill="1" applyAlignment="1" applyProtection="1">
      <alignment horizontal="left"/>
    </xf>
    <xf numFmtId="0" fontId="0" fillId="0" borderId="0" xfId="0" applyNumberFormat="1" applyFont="1" applyBorder="1"/>
    <xf numFmtId="1" fontId="0" fillId="0" borderId="0" xfId="0" applyNumberFormat="1"/>
    <xf numFmtId="2" fontId="0" fillId="0" borderId="0" xfId="0" applyNumberFormat="1"/>
    <xf numFmtId="164" fontId="5" fillId="0" borderId="0" xfId="0" applyNumberFormat="1" applyFont="1" applyProtection="1"/>
    <xf numFmtId="1" fontId="0" fillId="0" borderId="0" xfId="0" applyNumberFormat="1" applyFont="1" applyAlignment="1" applyProtection="1">
      <alignment horizontal="left"/>
    </xf>
    <xf numFmtId="0" fontId="5" fillId="0" borderId="0" xfId="0" applyNumberFormat="1" applyFont="1"/>
    <xf numFmtId="0" fontId="0" fillId="0" borderId="0" xfId="0" applyNumberFormat="1" applyFont="1" applyAlignment="1" applyProtection="1">
      <alignment horizontal="left"/>
    </xf>
    <xf numFmtId="0" fontId="0" fillId="10" borderId="0" xfId="0" applyFont="1" applyFill="1" applyBorder="1"/>
    <xf numFmtId="0" fontId="5" fillId="0" borderId="0" xfId="0" applyFont="1" applyFill="1" applyAlignment="1" applyProtection="1">
      <alignment horizontal="left" vertical="top"/>
    </xf>
    <xf numFmtId="1" fontId="2" fillId="0" borderId="0" xfId="0" applyNumberFormat="1" applyFont="1"/>
    <xf numFmtId="0" fontId="0" fillId="0" borderId="0" xfId="0" applyFont="1" applyFill="1" applyAlignment="1" applyProtection="1">
      <alignment horizontal="left" vertical="top"/>
    </xf>
    <xf numFmtId="0" fontId="0" fillId="4" borderId="0" xfId="0" applyFont="1" applyFill="1" applyAlignment="1" applyProtection="1">
      <alignment horizontal="left" vertical="top"/>
    </xf>
    <xf numFmtId="0" fontId="0" fillId="4" borderId="0" xfId="0" applyFont="1" applyFill="1" applyProtection="1"/>
    <xf numFmtId="0" fontId="29" fillId="0" borderId="0" xfId="0" applyFont="1" applyProtection="1"/>
    <xf numFmtId="0" fontId="0" fillId="0" borderId="14" xfId="0" applyFont="1" applyBorder="1" applyAlignment="1" applyProtection="1">
      <alignment vertical="center" wrapText="1"/>
    </xf>
    <xf numFmtId="0" fontId="1" fillId="0" borderId="14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0" fillId="0" borderId="0" xfId="0" applyFill="1" applyAlignment="1" applyProtection="1">
      <alignment horizontal="center" vertical="top"/>
    </xf>
    <xf numFmtId="0" fontId="0" fillId="0" borderId="1" xfId="0" applyNumberFormat="1" applyBorder="1" applyAlignment="1" applyProtection="1">
      <alignment horizontal="center"/>
    </xf>
    <xf numFmtId="0" fontId="1" fillId="0" borderId="6" xfId="0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2" fontId="6" fillId="0" borderId="0" xfId="0" applyNumberFormat="1" applyFont="1" applyProtection="1"/>
    <xf numFmtId="0" fontId="27" fillId="0" borderId="0" xfId="0" applyFont="1" applyBorder="1" applyAlignment="1" applyProtection="1">
      <alignment vertical="center"/>
    </xf>
    <xf numFmtId="0" fontId="27" fillId="0" borderId="14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 wrapText="1"/>
    </xf>
    <xf numFmtId="0" fontId="0" fillId="0" borderId="22" xfId="0" applyBorder="1" applyAlignment="1" applyProtection="1">
      <alignment vertical="center"/>
    </xf>
    <xf numFmtId="0" fontId="0" fillId="0" borderId="24" xfId="0" applyBorder="1" applyAlignment="1" applyProtection="1">
      <alignment vertical="center"/>
    </xf>
    <xf numFmtId="0" fontId="1" fillId="0" borderId="23" xfId="0" applyFont="1" applyBorder="1" applyAlignment="1" applyProtection="1">
      <alignment horizontal="center" vertical="center"/>
    </xf>
    <xf numFmtId="0" fontId="0" fillId="0" borderId="23" xfId="0" applyFont="1" applyBorder="1" applyAlignment="1" applyProtection="1">
      <alignment horizontal="center" vertical="center"/>
    </xf>
    <xf numFmtId="0" fontId="1" fillId="0" borderId="22" xfId="0" applyFont="1" applyBorder="1" applyAlignment="1" applyProtection="1">
      <alignment vertical="center" wrapText="1"/>
    </xf>
    <xf numFmtId="0" fontId="1" fillId="0" borderId="24" xfId="0" applyFont="1" applyBorder="1" applyAlignment="1" applyProtection="1">
      <alignment vertical="center" wrapText="1"/>
    </xf>
    <xf numFmtId="0" fontId="15" fillId="0" borderId="22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 wrapText="1"/>
    </xf>
    <xf numFmtId="0" fontId="0" fillId="0" borderId="0" xfId="0" applyNumberFormat="1" applyFill="1" applyAlignment="1" applyProtection="1">
      <alignment horizontal="left" vertical="top"/>
    </xf>
    <xf numFmtId="1" fontId="0" fillId="0" borderId="0" xfId="0" applyNumberFormat="1" applyFont="1" applyFill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1" fontId="37" fillId="0" borderId="0" xfId="0" applyNumberFormat="1" applyFont="1" applyFill="1" applyAlignment="1">
      <alignment horizontal="left" vertical="top"/>
    </xf>
    <xf numFmtId="2" fontId="38" fillId="0" borderId="0" xfId="0" applyNumberFormat="1" applyFont="1" applyFill="1" applyAlignment="1">
      <alignment horizontal="left" vertical="top" wrapText="1"/>
    </xf>
    <xf numFmtId="0" fontId="1" fillId="0" borderId="0" xfId="0" applyFont="1" applyFill="1" applyBorder="1" applyAlignment="1">
      <alignment horizontal="center"/>
    </xf>
    <xf numFmtId="0" fontId="39" fillId="0" borderId="0" xfId="0" applyFont="1"/>
    <xf numFmtId="0" fontId="0" fillId="0" borderId="0" xfId="0" applyNumberFormat="1" applyFont="1" applyFill="1" applyAlignment="1" applyProtection="1">
      <alignment horizontal="left"/>
    </xf>
    <xf numFmtId="0" fontId="0" fillId="0" borderId="8" xfId="0" applyBorder="1" applyProtection="1"/>
    <xf numFmtId="0" fontId="0" fillId="0" borderId="0" xfId="0" applyNumberFormat="1" applyFont="1" applyFill="1" applyAlignment="1" applyProtection="1">
      <alignment horizontal="center"/>
    </xf>
    <xf numFmtId="0" fontId="2" fillId="0" borderId="17" xfId="0" applyFont="1" applyBorder="1"/>
    <xf numFmtId="0" fontId="0" fillId="12" borderId="0" xfId="0" applyFill="1" applyAlignment="1" applyProtection="1">
      <alignment horizontal="left" vertical="top"/>
    </xf>
    <xf numFmtId="0" fontId="0" fillId="12" borderId="0" xfId="0" applyFill="1" applyProtection="1"/>
    <xf numFmtId="0" fontId="0" fillId="0" borderId="0" xfId="0" applyNumberFormat="1" applyFont="1" applyFill="1" applyAlignment="1" applyProtection="1">
      <alignment horizontal="left" vertical="top"/>
    </xf>
    <xf numFmtId="0" fontId="0" fillId="4" borderId="0" xfId="0" applyNumberFormat="1" applyFont="1" applyFill="1" applyAlignment="1" applyProtection="1">
      <alignment horizontal="left" vertical="top"/>
    </xf>
    <xf numFmtId="0" fontId="0" fillId="0" borderId="0" xfId="0" applyNumberFormat="1" applyFont="1" applyProtection="1"/>
    <xf numFmtId="0" fontId="0" fillId="0" borderId="9" xfId="0" applyNumberFormat="1" applyFont="1" applyBorder="1" applyAlignment="1" applyProtection="1">
      <alignment horizontal="center" vertical="center" wrapText="1"/>
    </xf>
    <xf numFmtId="0" fontId="0" fillId="4" borderId="0" xfId="0" applyNumberFormat="1" applyFont="1" applyFill="1" applyProtection="1"/>
    <xf numFmtId="0" fontId="41" fillId="0" borderId="0" xfId="0" applyFont="1"/>
    <xf numFmtId="0" fontId="41" fillId="0" borderId="0" xfId="0" applyNumberFormat="1" applyFont="1" applyAlignment="1">
      <alignment horizontal="left"/>
    </xf>
    <xf numFmtId="0" fontId="41" fillId="0" borderId="0" xfId="0" applyNumberFormat="1" applyFont="1"/>
    <xf numFmtId="0" fontId="12" fillId="0" borderId="0" xfId="0" applyNumberFormat="1" applyFont="1" applyAlignment="1">
      <alignment horizontal="left"/>
    </xf>
    <xf numFmtId="0" fontId="12" fillId="0" borderId="0" xfId="0" applyNumberFormat="1" applyFont="1" applyFill="1" applyAlignment="1">
      <alignment horizontal="left"/>
    </xf>
    <xf numFmtId="0" fontId="41" fillId="13" borderId="0" xfId="0" applyNumberFormat="1" applyFont="1" applyFill="1"/>
    <xf numFmtId="0" fontId="41" fillId="14" borderId="0" xfId="0" applyNumberFormat="1" applyFont="1" applyFill="1"/>
    <xf numFmtId="0" fontId="41" fillId="11" borderId="0" xfId="0" applyNumberFormat="1" applyFont="1" applyFill="1"/>
    <xf numFmtId="0" fontId="28" fillId="0" borderId="0" xfId="0" applyFont="1" applyBorder="1" applyAlignment="1" applyProtection="1">
      <alignment horizontal="center" vertical="center" wrapText="1"/>
    </xf>
    <xf numFmtId="0" fontId="27" fillId="0" borderId="0" xfId="0" applyFont="1" applyBorder="1" applyAlignment="1" applyProtection="1">
      <alignment horizontal="left" vertical="center"/>
    </xf>
    <xf numFmtId="0" fontId="0" fillId="4" borderId="0" xfId="0" applyFill="1" applyAlignment="1" applyProtection="1">
      <alignment horizontal="left"/>
    </xf>
    <xf numFmtId="0" fontId="0" fillId="0" borderId="9" xfId="0" applyBorder="1" applyProtection="1"/>
    <xf numFmtId="0" fontId="43" fillId="0" borderId="0" xfId="0" applyNumberFormat="1" applyFont="1"/>
    <xf numFmtId="0" fontId="0" fillId="0" borderId="8" xfId="0" applyNumberFormat="1" applyFont="1" applyBorder="1" applyProtection="1"/>
    <xf numFmtId="0" fontId="0" fillId="0" borderId="8" xfId="0" applyNumberFormat="1" applyFont="1" applyBorder="1" applyAlignment="1" applyProtection="1">
      <alignment horizontal="center"/>
    </xf>
    <xf numFmtId="0" fontId="0" fillId="0" borderId="9" xfId="0" applyNumberFormat="1" applyFont="1" applyBorder="1" applyAlignment="1" applyProtection="1">
      <alignment horizontal="center"/>
    </xf>
    <xf numFmtId="0" fontId="0" fillId="0" borderId="9" xfId="0" applyNumberFormat="1" applyFont="1" applyBorder="1" applyProtection="1"/>
    <xf numFmtId="0" fontId="41" fillId="0" borderId="0" xfId="0" applyNumberFormat="1" applyFont="1" applyBorder="1" applyAlignment="1">
      <alignment horizontal="left"/>
    </xf>
    <xf numFmtId="0" fontId="5" fillId="0" borderId="0" xfId="0" applyFont="1" applyBorder="1" applyAlignment="1" applyProtection="1">
      <alignment horizontal="center" vertical="center" wrapText="1"/>
    </xf>
    <xf numFmtId="0" fontId="0" fillId="0" borderId="0" xfId="0" applyNumberFormat="1" applyAlignment="1">
      <alignment horizontal="left"/>
    </xf>
    <xf numFmtId="1" fontId="47" fillId="0" borderId="0" xfId="0" applyNumberFormat="1" applyFont="1" applyAlignment="1">
      <alignment horizontal="left" vertical="center" wrapText="1"/>
    </xf>
    <xf numFmtId="164" fontId="0" fillId="0" borderId="0" xfId="0" applyNumberFormat="1" applyFont="1" applyFill="1" applyAlignment="1" applyProtection="1">
      <alignment horizontal="left"/>
    </xf>
    <xf numFmtId="2" fontId="41" fillId="0" borderId="0" xfId="0" applyNumberFormat="1" applyFont="1" applyAlignment="1">
      <alignment horizontal="left"/>
    </xf>
    <xf numFmtId="1" fontId="0" fillId="0" borderId="0" xfId="0" applyNumberFormat="1" applyFill="1" applyAlignment="1" applyProtection="1">
      <alignment horizontal="left"/>
    </xf>
    <xf numFmtId="1" fontId="0" fillId="0" borderId="0" xfId="0" applyNumberFormat="1" applyFont="1" applyFill="1" applyAlignment="1" applyProtection="1">
      <alignment horizontal="left"/>
    </xf>
    <xf numFmtId="0" fontId="41" fillId="0" borderId="0" xfId="0" applyNumberFormat="1" applyFont="1" applyFill="1" applyAlignment="1">
      <alignment horizontal="left"/>
    </xf>
    <xf numFmtId="0" fontId="41" fillId="0" borderId="0" xfId="0" applyNumberFormat="1" applyFont="1" applyFill="1"/>
    <xf numFmtId="0" fontId="2" fillId="0" borderId="0" xfId="0" applyFont="1" applyFill="1"/>
    <xf numFmtId="0" fontId="4" fillId="15" borderId="34" xfId="0" applyFont="1" applyFill="1" applyBorder="1"/>
    <xf numFmtId="2" fontId="0" fillId="0" borderId="34" xfId="0" applyNumberFormat="1" applyFont="1" applyBorder="1" applyAlignment="1">
      <alignment horizontal="left"/>
    </xf>
    <xf numFmtId="2" fontId="0" fillId="16" borderId="34" xfId="0" applyNumberFormat="1" applyFont="1" applyFill="1" applyBorder="1" applyAlignment="1">
      <alignment horizontal="left"/>
    </xf>
    <xf numFmtId="0" fontId="0" fillId="0" borderId="8" xfId="0" applyFont="1" applyBorder="1" applyProtection="1"/>
    <xf numFmtId="0" fontId="52" fillId="15" borderId="34" xfId="0" applyNumberFormat="1" applyFont="1" applyFill="1" applyBorder="1" applyAlignment="1">
      <alignment horizontal="left"/>
    </xf>
    <xf numFmtId="1" fontId="5" fillId="0" borderId="0" xfId="0" applyNumberFormat="1" applyFont="1" applyAlignment="1" applyProtection="1">
      <alignment horizontal="center"/>
    </xf>
    <xf numFmtId="0" fontId="41" fillId="13" borderId="0" xfId="0" applyNumberFormat="1" applyFont="1" applyFill="1" applyAlignment="1">
      <alignment horizontal="left"/>
    </xf>
    <xf numFmtId="0" fontId="41" fillId="14" borderId="0" xfId="0" applyNumberFormat="1" applyFont="1" applyFill="1" applyAlignment="1">
      <alignment horizontal="left"/>
    </xf>
    <xf numFmtId="0" fontId="41" fillId="11" borderId="0" xfId="0" applyNumberFormat="1" applyFont="1" applyFill="1" applyAlignment="1">
      <alignment horizontal="left"/>
    </xf>
    <xf numFmtId="0" fontId="41" fillId="0" borderId="0" xfId="0" applyNumberFormat="1" applyFont="1" applyAlignment="1">
      <alignment horizontal="center"/>
    </xf>
    <xf numFmtId="0" fontId="54" fillId="0" borderId="0" xfId="0" applyNumberFormat="1" applyFont="1"/>
    <xf numFmtId="0" fontId="0" fillId="0" borderId="0" xfId="0" applyFont="1" applyFill="1" applyBorder="1" applyAlignment="1" applyProtection="1">
      <alignment horizontal="center" vertical="top"/>
    </xf>
    <xf numFmtId="0" fontId="5" fillId="0" borderId="0" xfId="0" applyFont="1" applyFill="1" applyAlignment="1" applyProtection="1">
      <alignment shrinkToFit="1"/>
    </xf>
    <xf numFmtId="0" fontId="5" fillId="0" borderId="1" xfId="0" applyFont="1" applyBorder="1" applyAlignment="1" applyProtection="1">
      <alignment horizontal="center" vertical="center" shrinkToFit="1"/>
    </xf>
    <xf numFmtId="0" fontId="5" fillId="0" borderId="1" xfId="0" applyFont="1" applyBorder="1" applyAlignment="1" applyProtection="1">
      <alignment horizontal="center" shrinkToFit="1"/>
    </xf>
    <xf numFmtId="0" fontId="0" fillId="0" borderId="0" xfId="0" applyAlignment="1">
      <alignment horizontal="right"/>
    </xf>
    <xf numFmtId="0" fontId="44" fillId="0" borderId="0" xfId="0" applyFont="1" applyAlignment="1">
      <alignment horizontal="center" vertical="top"/>
    </xf>
    <xf numFmtId="0" fontId="27" fillId="0" borderId="0" xfId="0" applyFont="1" applyFill="1" applyBorder="1" applyAlignment="1" applyProtection="1">
      <alignment horizontal="left" vertical="center"/>
    </xf>
    <xf numFmtId="0" fontId="27" fillId="0" borderId="0" xfId="0" applyFont="1" applyFill="1" applyBorder="1" applyAlignment="1" applyProtection="1">
      <alignment horizontal="center" vertical="center"/>
    </xf>
    <xf numFmtId="0" fontId="46" fillId="0" borderId="43" xfId="0" applyFont="1" applyBorder="1" applyAlignment="1" applyProtection="1">
      <alignment horizontal="left"/>
      <protection locked="0"/>
    </xf>
    <xf numFmtId="0" fontId="44" fillId="0" borderId="0" xfId="0" applyFont="1" applyBorder="1" applyProtection="1">
      <protection locked="0"/>
    </xf>
    <xf numFmtId="0" fontId="0" fillId="0" borderId="0" xfId="0" applyProtection="1">
      <protection locked="0"/>
    </xf>
    <xf numFmtId="0" fontId="44" fillId="0" borderId="0" xfId="0" applyFont="1" applyBorder="1" applyProtection="1"/>
    <xf numFmtId="0" fontId="12" fillId="0" borderId="0" xfId="0" applyFont="1" applyFill="1" applyAlignment="1" applyProtection="1">
      <alignment vertical="center"/>
    </xf>
    <xf numFmtId="0" fontId="41" fillId="0" borderId="0" xfId="0" applyFont="1" applyFill="1" applyProtection="1"/>
    <xf numFmtId="0" fontId="41" fillId="0" borderId="0" xfId="0" applyFont="1" applyFill="1" applyAlignment="1" applyProtection="1">
      <alignment horizontal="left"/>
    </xf>
    <xf numFmtId="0" fontId="31" fillId="0" borderId="0" xfId="0" applyFont="1" applyProtection="1"/>
    <xf numFmtId="0" fontId="31" fillId="0" borderId="0" xfId="0" applyFont="1" applyFill="1" applyAlignment="1" applyProtection="1">
      <alignment horizontal="left"/>
    </xf>
    <xf numFmtId="0" fontId="31" fillId="0" borderId="0" xfId="0" applyFont="1" applyFill="1" applyProtection="1"/>
    <xf numFmtId="0" fontId="12" fillId="0" borderId="0" xfId="0" applyFont="1" applyProtection="1"/>
    <xf numFmtId="0" fontId="41" fillId="0" borderId="0" xfId="0" applyFont="1" applyProtection="1"/>
    <xf numFmtId="0" fontId="41" fillId="0" borderId="0" xfId="0" applyFont="1" applyAlignment="1" applyProtection="1">
      <alignment horizontal="left"/>
    </xf>
    <xf numFmtId="0" fontId="31" fillId="0" borderId="0" xfId="0" applyFont="1" applyAlignment="1" applyProtection="1">
      <alignment horizontal="left"/>
    </xf>
    <xf numFmtId="0" fontId="31" fillId="0" borderId="35" xfId="0" applyFont="1" applyBorder="1" applyAlignment="1" applyProtection="1">
      <alignment horizontal="left"/>
    </xf>
    <xf numFmtId="0" fontId="32" fillId="0" borderId="36" xfId="0" applyFont="1" applyBorder="1" applyProtection="1"/>
    <xf numFmtId="0" fontId="31" fillId="0" borderId="36" xfId="0" applyFont="1" applyBorder="1" applyProtection="1"/>
    <xf numFmtId="0" fontId="0" fillId="0" borderId="36" xfId="0" applyBorder="1" applyProtection="1"/>
    <xf numFmtId="0" fontId="31" fillId="0" borderId="37" xfId="0" applyFont="1" applyBorder="1" applyProtection="1"/>
    <xf numFmtId="0" fontId="31" fillId="0" borderId="38" xfId="0" applyFont="1" applyBorder="1" applyAlignment="1" applyProtection="1">
      <alignment horizontal="left"/>
    </xf>
    <xf numFmtId="0" fontId="31" fillId="0" borderId="0" xfId="0" applyFont="1" applyBorder="1" applyProtection="1"/>
    <xf numFmtId="0" fontId="31" fillId="0" borderId="39" xfId="0" applyFont="1" applyBorder="1" applyProtection="1"/>
    <xf numFmtId="0" fontId="32" fillId="0" borderId="0" xfId="0" applyFont="1" applyBorder="1" applyProtection="1"/>
    <xf numFmtId="14" fontId="45" fillId="0" borderId="0" xfId="0" applyNumberFormat="1" applyFont="1" applyFill="1" applyBorder="1" applyAlignment="1" applyProtection="1">
      <alignment horizontal="right" vertical="top"/>
    </xf>
    <xf numFmtId="0" fontId="49" fillId="0" borderId="0" xfId="0" applyFont="1" applyAlignment="1" applyProtection="1">
      <alignment horizontal="left" vertical="top"/>
    </xf>
    <xf numFmtId="0" fontId="33" fillId="0" borderId="0" xfId="0" applyFont="1" applyBorder="1" applyAlignment="1" applyProtection="1"/>
    <xf numFmtId="0" fontId="42" fillId="0" borderId="0" xfId="0" applyFont="1" applyProtection="1"/>
    <xf numFmtId="0" fontId="12" fillId="0" borderId="0" xfId="0" applyFont="1" applyAlignment="1" applyProtection="1">
      <alignment horizontal="left"/>
    </xf>
    <xf numFmtId="0" fontId="50" fillId="0" borderId="0" xfId="0" applyFont="1" applyAlignment="1" applyProtection="1">
      <alignment horizontal="left" vertical="top"/>
    </xf>
    <xf numFmtId="0" fontId="34" fillId="0" borderId="0" xfId="0" applyFont="1" applyAlignment="1" applyProtection="1">
      <alignment horizontal="left"/>
    </xf>
    <xf numFmtId="0" fontId="34" fillId="0" borderId="38" xfId="0" applyFont="1" applyBorder="1" applyAlignment="1" applyProtection="1">
      <alignment horizontal="left"/>
    </xf>
    <xf numFmtId="0" fontId="12" fillId="0" borderId="0" xfId="0" applyFont="1" applyFill="1" applyProtection="1"/>
    <xf numFmtId="0" fontId="46" fillId="0" borderId="0" xfId="0" applyFont="1" applyAlignment="1" applyProtection="1">
      <alignment horizontal="left"/>
    </xf>
    <xf numFmtId="0" fontId="46" fillId="0" borderId="38" xfId="0" applyFont="1" applyBorder="1" applyAlignment="1" applyProtection="1">
      <alignment horizontal="left"/>
    </xf>
    <xf numFmtId="0" fontId="40" fillId="0" borderId="0" xfId="0" applyFont="1" applyAlignment="1" applyProtection="1">
      <alignment horizontal="left"/>
    </xf>
    <xf numFmtId="0" fontId="40" fillId="0" borderId="38" xfId="0" applyFont="1" applyBorder="1" applyAlignment="1" applyProtection="1">
      <alignment horizontal="left"/>
    </xf>
    <xf numFmtId="0" fontId="55" fillId="0" borderId="0" xfId="0" applyFont="1" applyBorder="1" applyAlignment="1" applyProtection="1">
      <alignment vertical="center"/>
    </xf>
    <xf numFmtId="0" fontId="36" fillId="0" borderId="0" xfId="0" applyFont="1" applyProtection="1"/>
    <xf numFmtId="0" fontId="33" fillId="0" borderId="0" xfId="0" applyFont="1" applyBorder="1" applyAlignment="1" applyProtection="1">
      <alignment horizontal="left"/>
    </xf>
    <xf numFmtId="0" fontId="56" fillId="0" borderId="0" xfId="0" applyFont="1" applyBorder="1" applyProtection="1"/>
    <xf numFmtId="0" fontId="31" fillId="0" borderId="14" xfId="0" applyFont="1" applyBorder="1" applyProtection="1"/>
    <xf numFmtId="0" fontId="35" fillId="0" borderId="0" xfId="0" applyFont="1" applyBorder="1" applyProtection="1"/>
    <xf numFmtId="0" fontId="44" fillId="0" borderId="0" xfId="0" applyNumberFormat="1" applyFont="1" applyBorder="1" applyProtection="1"/>
    <xf numFmtId="0" fontId="44" fillId="0" borderId="0" xfId="0" applyNumberFormat="1" applyFont="1" applyFill="1" applyBorder="1" applyAlignment="1" applyProtection="1">
      <alignment horizontal="left"/>
    </xf>
    <xf numFmtId="0" fontId="44" fillId="0" borderId="0" xfId="0" applyNumberFormat="1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</xf>
    <xf numFmtId="0" fontId="49" fillId="0" borderId="38" xfId="0" applyFont="1" applyBorder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31" fillId="0" borderId="0" xfId="0" applyFont="1" applyBorder="1" applyAlignment="1" applyProtection="1">
      <alignment vertical="top"/>
    </xf>
    <xf numFmtId="0" fontId="44" fillId="0" borderId="0" xfId="0" applyFont="1" applyBorder="1" applyAlignment="1" applyProtection="1">
      <alignment horizontal="left" vertical="top" wrapText="1"/>
    </xf>
    <xf numFmtId="0" fontId="31" fillId="0" borderId="0" xfId="0" applyFont="1" applyBorder="1" applyAlignment="1" applyProtection="1">
      <alignment horizontal="left" vertical="top"/>
    </xf>
    <xf numFmtId="165" fontId="44" fillId="0" borderId="0" xfId="0" applyNumberFormat="1" applyFont="1" applyBorder="1" applyAlignment="1" applyProtection="1">
      <alignment horizontal="left"/>
    </xf>
    <xf numFmtId="0" fontId="53" fillId="0" borderId="0" xfId="0" applyFont="1" applyBorder="1" applyAlignment="1" applyProtection="1">
      <alignment horizontal="right"/>
    </xf>
    <xf numFmtId="0" fontId="31" fillId="0" borderId="40" xfId="0" applyFont="1" applyBorder="1" applyAlignment="1" applyProtection="1">
      <alignment horizontal="left"/>
    </xf>
    <xf numFmtId="0" fontId="31" fillId="0" borderId="41" xfId="0" applyFont="1" applyBorder="1" applyProtection="1"/>
    <xf numFmtId="0" fontId="31" fillId="0" borderId="42" xfId="0" applyFont="1" applyBorder="1" applyProtection="1"/>
    <xf numFmtId="0" fontId="51" fillId="0" borderId="0" xfId="0" applyFont="1" applyAlignment="1" applyProtection="1">
      <alignment vertical="center"/>
    </xf>
    <xf numFmtId="0" fontId="45" fillId="18" borderId="0" xfId="0" applyFont="1" applyFill="1" applyBorder="1" applyProtection="1"/>
    <xf numFmtId="0" fontId="31" fillId="0" borderId="43" xfId="0" applyFont="1" applyBorder="1" applyAlignment="1" applyProtection="1">
      <alignment horizontal="left" vertical="center"/>
      <protection locked="0"/>
    </xf>
    <xf numFmtId="0" fontId="58" fillId="0" borderId="0" xfId="0" applyFont="1" applyFill="1" applyAlignment="1" applyProtection="1">
      <alignment vertical="top" wrapText="1"/>
    </xf>
    <xf numFmtId="0" fontId="0" fillId="17" borderId="0" xfId="0" applyFill="1" applyProtection="1">
      <protection locked="0"/>
    </xf>
    <xf numFmtId="0" fontId="36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31" fillId="0" borderId="15" xfId="0" applyFont="1" applyBorder="1" applyAlignment="1" applyProtection="1">
      <alignment vertical="top"/>
    </xf>
    <xf numFmtId="0" fontId="0" fillId="0" borderId="11" xfId="0" applyFont="1" applyFill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center" vertical="center" wrapText="1"/>
    </xf>
    <xf numFmtId="0" fontId="0" fillId="0" borderId="9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0" fillId="0" borderId="9" xfId="0" applyFont="1" applyBorder="1" applyAlignment="1" applyProtection="1">
      <alignment horizontal="center" vertical="center" wrapText="1"/>
    </xf>
    <xf numFmtId="0" fontId="0" fillId="0" borderId="10" xfId="0" applyFont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1" fillId="0" borderId="8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5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7" xfId="0" applyFont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 wrapText="1"/>
    </xf>
    <xf numFmtId="0" fontId="0" fillId="0" borderId="8" xfId="0" applyNumberFormat="1" applyFont="1" applyBorder="1" applyAlignment="1" applyProtection="1">
      <alignment horizontal="center" vertical="center" wrapText="1"/>
    </xf>
    <xf numFmtId="0" fontId="0" fillId="0" borderId="10" xfId="0" applyNumberFormat="1" applyFont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center"/>
    </xf>
    <xf numFmtId="0" fontId="0" fillId="0" borderId="5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left" vertical="top"/>
    </xf>
    <xf numFmtId="0" fontId="5" fillId="0" borderId="1" xfId="0" applyNumberFormat="1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left" wrapText="1"/>
    </xf>
    <xf numFmtId="0" fontId="0" fillId="0" borderId="4" xfId="0" applyFont="1" applyBorder="1" applyAlignment="1" applyProtection="1">
      <alignment horizontal="left" vertical="center" wrapText="1"/>
    </xf>
    <xf numFmtId="0" fontId="0" fillId="0" borderId="3" xfId="0" applyFont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horizontal="center" vertical="center" wrapText="1"/>
    </xf>
    <xf numFmtId="0" fontId="0" fillId="0" borderId="9" xfId="0" applyFont="1" applyBorder="1" applyAlignment="1" applyProtection="1">
      <alignment horizontal="center" vertical="center" wrapText="1"/>
    </xf>
    <xf numFmtId="0" fontId="0" fillId="0" borderId="10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left" shrinkToFit="1"/>
    </xf>
    <xf numFmtId="0" fontId="5" fillId="0" borderId="4" xfId="0" applyFont="1" applyBorder="1" applyAlignment="1" applyProtection="1">
      <alignment horizontal="left" shrinkToFit="1"/>
    </xf>
    <xf numFmtId="0" fontId="5" fillId="0" borderId="3" xfId="0" applyFont="1" applyBorder="1" applyAlignment="1" applyProtection="1">
      <alignment horizontal="left" shrinkToFit="1"/>
    </xf>
    <xf numFmtId="0" fontId="0" fillId="0" borderId="1" xfId="0" applyFont="1" applyFill="1" applyBorder="1" applyAlignment="1" applyProtection="1">
      <alignment horizontal="left" vertical="center" wrapText="1"/>
    </xf>
    <xf numFmtId="0" fontId="0" fillId="0" borderId="1" xfId="0" applyFont="1" applyBorder="1" applyAlignment="1" applyProtection="1">
      <alignment horizontal="center" vertical="center" wrapText="1"/>
    </xf>
    <xf numFmtId="0" fontId="5" fillId="0" borderId="1" xfId="0" applyNumberFormat="1" applyFont="1" applyBorder="1" applyAlignment="1" applyProtection="1">
      <alignment horizontal="center" vertical="center" shrinkToFit="1"/>
    </xf>
    <xf numFmtId="0" fontId="0" fillId="0" borderId="1" xfId="0" applyFont="1" applyFill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5" fillId="11" borderId="14" xfId="0" applyFont="1" applyFill="1" applyBorder="1" applyAlignment="1" applyProtection="1">
      <alignment horizontal="center" vertical="center" wrapText="1"/>
    </xf>
    <xf numFmtId="0" fontId="5" fillId="11" borderId="0" xfId="0" applyFont="1" applyFill="1" applyBorder="1" applyAlignment="1" applyProtection="1">
      <alignment horizontal="center" vertical="center"/>
    </xf>
    <xf numFmtId="0" fontId="5" fillId="11" borderId="14" xfId="0" applyFont="1" applyFill="1" applyBorder="1" applyAlignment="1" applyProtection="1">
      <alignment horizontal="center" vertical="center" wrapText="1" shrinkToFit="1"/>
    </xf>
    <xf numFmtId="0" fontId="5" fillId="11" borderId="0" xfId="0" applyFont="1" applyFill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horizontal="left" vertical="top"/>
    </xf>
    <xf numFmtId="0" fontId="5" fillId="11" borderId="26" xfId="0" applyFont="1" applyFill="1" applyBorder="1" applyAlignment="1" applyProtection="1">
      <alignment horizontal="center" vertical="center" wrapText="1" shrinkToFit="1"/>
    </xf>
    <xf numFmtId="0" fontId="21" fillId="9" borderId="0" xfId="0" applyFont="1" applyFill="1" applyBorder="1" applyAlignment="1" applyProtection="1">
      <alignment horizontal="left" vertical="top"/>
    </xf>
    <xf numFmtId="0" fontId="28" fillId="9" borderId="0" xfId="0" applyFont="1" applyFill="1" applyBorder="1" applyAlignment="1" applyProtection="1">
      <alignment horizontal="left" vertical="top"/>
    </xf>
    <xf numFmtId="0" fontId="0" fillId="0" borderId="8" xfId="0" applyFont="1" applyBorder="1" applyAlignment="1" applyProtection="1">
      <alignment horizontal="center" vertical="center"/>
    </xf>
    <xf numFmtId="0" fontId="0" fillId="0" borderId="9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14" xfId="0" applyFont="1" applyBorder="1" applyAlignment="1" applyProtection="1">
      <alignment horizontal="center" vertical="center" wrapText="1"/>
    </xf>
    <xf numFmtId="0" fontId="0" fillId="0" borderId="7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0" fontId="0" fillId="0" borderId="2" xfId="0" applyFont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left"/>
    </xf>
    <xf numFmtId="0" fontId="5" fillId="0" borderId="4" xfId="0" applyFont="1" applyBorder="1" applyAlignment="1" applyProtection="1">
      <alignment horizontal="left"/>
    </xf>
    <xf numFmtId="0" fontId="5" fillId="0" borderId="3" xfId="0" applyFont="1" applyBorder="1" applyAlignment="1" applyProtection="1">
      <alignment horizontal="left"/>
    </xf>
    <xf numFmtId="0" fontId="5" fillId="0" borderId="12" xfId="0" applyFont="1" applyBorder="1" applyAlignment="1" applyProtection="1">
      <alignment horizontal="left" shrinkToFit="1"/>
    </xf>
    <xf numFmtId="0" fontId="5" fillId="0" borderId="15" xfId="0" applyFont="1" applyBorder="1" applyAlignment="1" applyProtection="1">
      <alignment horizontal="left" shrinkToFit="1"/>
    </xf>
    <xf numFmtId="0" fontId="5" fillId="0" borderId="13" xfId="0" applyFont="1" applyBorder="1" applyAlignment="1" applyProtection="1">
      <alignment horizontal="left" shrinkToFit="1"/>
    </xf>
    <xf numFmtId="0" fontId="0" fillId="0" borderId="12" xfId="0" applyFont="1" applyBorder="1" applyAlignment="1" applyProtection="1">
      <alignment horizontal="center" vertical="center" wrapText="1"/>
    </xf>
    <xf numFmtId="0" fontId="0" fillId="0" borderId="15" xfId="0" applyFont="1" applyBorder="1" applyAlignment="1" applyProtection="1">
      <alignment horizontal="center" vertical="center" wrapText="1"/>
    </xf>
    <xf numFmtId="0" fontId="0" fillId="0" borderId="13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left" vertical="center" wrapText="1"/>
    </xf>
    <xf numFmtId="0" fontId="5" fillId="0" borderId="4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5" fillId="0" borderId="8" xfId="0" applyNumberFormat="1" applyFont="1" applyBorder="1" applyAlignment="1" applyProtection="1">
      <alignment horizontal="center" vertical="center" shrinkToFit="1"/>
    </xf>
    <xf numFmtId="0" fontId="5" fillId="0" borderId="9" xfId="0" applyNumberFormat="1" applyFont="1" applyBorder="1" applyAlignment="1" applyProtection="1">
      <alignment horizontal="center" vertical="center" shrinkToFit="1"/>
    </xf>
    <xf numFmtId="0" fontId="5" fillId="0" borderId="10" xfId="0" applyNumberFormat="1" applyFont="1" applyBorder="1" applyAlignment="1" applyProtection="1">
      <alignment horizontal="center" vertical="center" shrinkToFit="1"/>
    </xf>
    <xf numFmtId="0" fontId="0" fillId="0" borderId="11" xfId="0" applyFont="1" applyBorder="1" applyAlignment="1" applyProtection="1">
      <alignment horizontal="left"/>
    </xf>
    <xf numFmtId="0" fontId="0" fillId="0" borderId="14" xfId="0" applyFont="1" applyBorder="1" applyAlignment="1" applyProtection="1">
      <alignment horizontal="left"/>
    </xf>
    <xf numFmtId="0" fontId="0" fillId="0" borderId="7" xfId="0" applyFont="1" applyBorder="1" applyAlignment="1" applyProtection="1">
      <alignment horizontal="left"/>
    </xf>
    <xf numFmtId="0" fontId="0" fillId="0" borderId="2" xfId="0" applyFont="1" applyBorder="1" applyAlignment="1" applyProtection="1">
      <alignment horizontal="left" vertical="center" wrapText="1"/>
    </xf>
    <xf numFmtId="0" fontId="19" fillId="0" borderId="27" xfId="0" applyFont="1" applyBorder="1" applyAlignment="1" applyProtection="1">
      <alignment horizontal="left" vertical="center"/>
    </xf>
    <xf numFmtId="0" fontId="19" fillId="0" borderId="28" xfId="0" applyFont="1" applyBorder="1" applyAlignment="1" applyProtection="1">
      <alignment horizontal="left" vertical="center"/>
    </xf>
    <xf numFmtId="0" fontId="19" fillId="0" borderId="29" xfId="0" applyFont="1" applyBorder="1" applyAlignment="1" applyProtection="1">
      <alignment horizontal="left" vertical="center"/>
    </xf>
    <xf numFmtId="0" fontId="19" fillId="0" borderId="27" xfId="0" applyFont="1" applyBorder="1" applyAlignment="1" applyProtection="1">
      <alignment horizontal="left"/>
    </xf>
    <xf numFmtId="0" fontId="19" fillId="0" borderId="28" xfId="0" applyFont="1" applyBorder="1" applyAlignment="1" applyProtection="1">
      <alignment horizontal="left"/>
    </xf>
    <xf numFmtId="0" fontId="19" fillId="0" borderId="29" xfId="0" applyFont="1" applyBorder="1" applyAlignment="1" applyProtection="1">
      <alignment horizontal="left"/>
    </xf>
    <xf numFmtId="0" fontId="0" fillId="0" borderId="5" xfId="0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center" vertical="center" wrapText="1"/>
    </xf>
    <xf numFmtId="0" fontId="5" fillId="11" borderId="0" xfId="0" applyFont="1" applyFill="1" applyBorder="1" applyAlignment="1" applyProtection="1">
      <alignment horizontal="center" vertical="center" wrapText="1" shrinkToFit="1"/>
    </xf>
    <xf numFmtId="0" fontId="5" fillId="11" borderId="15" xfId="0" applyFont="1" applyFill="1" applyBorder="1" applyAlignment="1" applyProtection="1">
      <alignment horizontal="center" vertical="center" wrapText="1" shrinkToFit="1"/>
    </xf>
    <xf numFmtId="0" fontId="1" fillId="0" borderId="22" xfId="0" applyFont="1" applyFill="1" applyBorder="1" applyAlignment="1" applyProtection="1">
      <alignment horizontal="center" vertical="center" wrapText="1"/>
    </xf>
    <xf numFmtId="0" fontId="1" fillId="0" borderId="23" xfId="0" applyFont="1" applyFill="1" applyBorder="1" applyAlignment="1" applyProtection="1">
      <alignment horizontal="center" vertical="center" wrapText="1"/>
    </xf>
    <xf numFmtId="0" fontId="1" fillId="0" borderId="24" xfId="0" applyFont="1" applyFill="1" applyBorder="1" applyAlignment="1" applyProtection="1">
      <alignment horizontal="center" vertical="center" wrapText="1"/>
    </xf>
    <xf numFmtId="0" fontId="1" fillId="0" borderId="31" xfId="0" applyFont="1" applyBorder="1" applyAlignment="1" applyProtection="1">
      <alignment horizontal="center" vertical="center"/>
    </xf>
    <xf numFmtId="0" fontId="1" fillId="0" borderId="32" xfId="0" applyFont="1" applyBorder="1" applyAlignment="1" applyProtection="1">
      <alignment horizontal="center" vertical="center"/>
    </xf>
    <xf numFmtId="0" fontId="1" fillId="0" borderId="33" xfId="0" applyFont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 textRotation="90"/>
    </xf>
    <xf numFmtId="0" fontId="1" fillId="0" borderId="10" xfId="0" applyFont="1" applyBorder="1" applyAlignment="1" applyProtection="1">
      <alignment horizontal="center" vertical="center" textRotation="90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10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left" vertical="center" indent="10"/>
    </xf>
    <xf numFmtId="0" fontId="1" fillId="0" borderId="4" xfId="0" applyFont="1" applyBorder="1" applyAlignment="1" applyProtection="1">
      <alignment horizontal="left" vertical="center" indent="10"/>
    </xf>
    <xf numFmtId="0" fontId="1" fillId="0" borderId="7" xfId="0" applyFont="1" applyBorder="1" applyAlignment="1" applyProtection="1">
      <alignment horizontal="left" vertical="center" indent="10"/>
    </xf>
    <xf numFmtId="0" fontId="0" fillId="0" borderId="11" xfId="0" applyFont="1" applyBorder="1" applyAlignment="1" applyProtection="1">
      <alignment horizontal="center" vertical="center"/>
    </xf>
    <xf numFmtId="0" fontId="0" fillId="0" borderId="14" xfId="0" applyFont="1" applyBorder="1" applyAlignment="1" applyProtection="1">
      <alignment horizontal="center" vertical="center"/>
    </xf>
    <xf numFmtId="0" fontId="0" fillId="0" borderId="7" xfId="0" applyFont="1" applyBorder="1" applyAlignment="1" applyProtection="1">
      <alignment horizontal="center" vertical="center"/>
    </xf>
    <xf numFmtId="0" fontId="0" fillId="0" borderId="5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12" xfId="0" applyFont="1" applyBorder="1" applyAlignment="1" applyProtection="1">
      <alignment horizontal="center" vertical="center"/>
    </xf>
    <xf numFmtId="0" fontId="0" fillId="0" borderId="15" xfId="0" applyFont="1" applyBorder="1" applyAlignment="1" applyProtection="1">
      <alignment horizontal="center" vertical="center"/>
    </xf>
    <xf numFmtId="0" fontId="0" fillId="0" borderId="13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11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0" fontId="0" fillId="0" borderId="5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0" borderId="6" xfId="0" applyFont="1" applyFill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 wrapText="1"/>
    </xf>
    <xf numFmtId="0" fontId="0" fillId="0" borderId="15" xfId="0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 applyProtection="1">
      <alignment horizontal="left" vertical="top"/>
    </xf>
    <xf numFmtId="0" fontId="1" fillId="0" borderId="2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  <xf numFmtId="0" fontId="10" fillId="0" borderId="7" xfId="0" applyFont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12" xfId="0" applyFont="1" applyBorder="1" applyAlignment="1" applyProtection="1">
      <alignment horizontal="center" vertical="center" wrapText="1"/>
    </xf>
    <xf numFmtId="0" fontId="10" fillId="0" borderId="15" xfId="0" applyFont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center" indent="10"/>
    </xf>
    <xf numFmtId="0" fontId="1" fillId="0" borderId="11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" fillId="0" borderId="7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5" fillId="11" borderId="0" xfId="0" applyFont="1" applyFill="1" applyBorder="1" applyAlignment="1" applyProtection="1">
      <alignment horizontal="center" vertical="center" wrapText="1"/>
    </xf>
    <xf numFmtId="0" fontId="0" fillId="0" borderId="8" xfId="0" applyNumberFormat="1" applyFont="1" applyBorder="1" applyAlignment="1" applyProtection="1">
      <alignment horizontal="center" vertical="center" wrapText="1"/>
    </xf>
    <xf numFmtId="0" fontId="0" fillId="0" borderId="10" xfId="0" applyNumberFormat="1" applyFont="1" applyBorder="1" applyAlignment="1" applyProtection="1">
      <alignment horizontal="center" vertical="center" wrapText="1"/>
    </xf>
    <xf numFmtId="0" fontId="0" fillId="0" borderId="2" xfId="0" applyNumberFormat="1" applyFont="1" applyBorder="1" applyAlignment="1" applyProtection="1">
      <alignment horizontal="center" vertical="center" wrapText="1"/>
    </xf>
    <xf numFmtId="0" fontId="0" fillId="0" borderId="4" xfId="0" applyNumberFormat="1" applyFont="1" applyBorder="1" applyAlignment="1" applyProtection="1">
      <alignment horizontal="center" vertical="center" wrapText="1"/>
    </xf>
    <xf numFmtId="0" fontId="0" fillId="0" borderId="3" xfId="0" applyNumberFormat="1" applyFont="1" applyBorder="1" applyAlignment="1" applyProtection="1">
      <alignment horizontal="center" vertical="center" wrapText="1"/>
    </xf>
    <xf numFmtId="0" fontId="0" fillId="0" borderId="2" xfId="0" applyFont="1" applyBorder="1" applyAlignment="1" applyProtection="1">
      <alignment horizontal="center" vertical="center"/>
    </xf>
    <xf numFmtId="0" fontId="0" fillId="0" borderId="4" xfId="0" applyFont="1" applyBorder="1" applyAlignment="1" applyProtection="1">
      <alignment horizontal="center" vertical="center"/>
    </xf>
    <xf numFmtId="0" fontId="0" fillId="0" borderId="3" xfId="0" applyFont="1" applyBorder="1" applyAlignment="1" applyProtection="1">
      <alignment horizontal="center" vertical="center"/>
    </xf>
    <xf numFmtId="0" fontId="0" fillId="0" borderId="11" xfId="0" applyNumberFormat="1" applyFont="1" applyBorder="1" applyAlignment="1" applyProtection="1">
      <alignment horizontal="center" vertical="center" wrapText="1"/>
    </xf>
    <xf numFmtId="0" fontId="0" fillId="0" borderId="14" xfId="0" applyNumberFormat="1" applyFont="1" applyBorder="1" applyAlignment="1" applyProtection="1">
      <alignment horizontal="center" vertical="center" wrapText="1"/>
    </xf>
    <xf numFmtId="0" fontId="0" fillId="0" borderId="7" xfId="0" applyNumberFormat="1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0" fillId="0" borderId="11" xfId="0" applyFont="1" applyFill="1" applyBorder="1" applyAlignment="1" applyProtection="1">
      <alignment horizontal="left" vertical="center" wrapText="1"/>
    </xf>
    <xf numFmtId="0" fontId="0" fillId="0" borderId="14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horizontal="left" vertical="center" wrapText="1"/>
    </xf>
    <xf numFmtId="0" fontId="0" fillId="0" borderId="12" xfId="0" applyFont="1" applyFill="1" applyBorder="1" applyAlignment="1" applyProtection="1">
      <alignment horizontal="left" vertical="center" wrapText="1"/>
    </xf>
    <xf numFmtId="0" fontId="0" fillId="0" borderId="15" xfId="0" applyFont="1" applyFill="1" applyBorder="1" applyAlignment="1" applyProtection="1">
      <alignment horizontal="left" vertical="center" wrapText="1"/>
    </xf>
    <xf numFmtId="0" fontId="0" fillId="0" borderId="13" xfId="0" applyFont="1" applyFill="1" applyBorder="1" applyAlignment="1" applyProtection="1">
      <alignment horizontal="left" vertical="center" wrapText="1"/>
    </xf>
    <xf numFmtId="0" fontId="0" fillId="0" borderId="11" xfId="0" applyFont="1" applyBorder="1" applyAlignment="1" applyProtection="1">
      <alignment horizontal="left" vertical="center" wrapText="1"/>
    </xf>
    <xf numFmtId="0" fontId="0" fillId="0" borderId="14" xfId="0" applyFont="1" applyBorder="1" applyAlignment="1" applyProtection="1">
      <alignment horizontal="left" vertical="center" wrapText="1"/>
    </xf>
    <xf numFmtId="0" fontId="0" fillId="0" borderId="7" xfId="0" applyFont="1" applyBorder="1" applyAlignment="1" applyProtection="1">
      <alignment horizontal="left" vertical="center" wrapText="1"/>
    </xf>
    <xf numFmtId="0" fontId="0" fillId="0" borderId="12" xfId="0" applyFont="1" applyBorder="1" applyAlignment="1" applyProtection="1">
      <alignment horizontal="left" vertical="center" wrapText="1"/>
    </xf>
    <xf numFmtId="0" fontId="0" fillId="0" borderId="15" xfId="0" applyFont="1" applyBorder="1" applyAlignment="1" applyProtection="1">
      <alignment horizontal="left" vertical="center" wrapText="1"/>
    </xf>
    <xf numFmtId="0" fontId="0" fillId="0" borderId="13" xfId="0" applyFont="1" applyBorder="1" applyAlignment="1" applyProtection="1">
      <alignment horizontal="left" vertical="center" wrapText="1"/>
    </xf>
    <xf numFmtId="0" fontId="0" fillId="0" borderId="11" xfId="0" applyFont="1" applyBorder="1" applyAlignment="1" applyProtection="1">
      <alignment horizontal="left" vertical="center"/>
    </xf>
    <xf numFmtId="0" fontId="0" fillId="0" borderId="14" xfId="0" applyFont="1" applyBorder="1" applyAlignment="1" applyProtection="1">
      <alignment horizontal="left" vertical="center"/>
    </xf>
    <xf numFmtId="0" fontId="0" fillId="0" borderId="7" xfId="0" applyFont="1" applyBorder="1" applyAlignment="1" applyProtection="1">
      <alignment horizontal="left" vertical="center"/>
    </xf>
    <xf numFmtId="0" fontId="0" fillId="0" borderId="12" xfId="0" applyFont="1" applyBorder="1" applyAlignment="1" applyProtection="1">
      <alignment horizontal="left" vertical="center"/>
    </xf>
    <xf numFmtId="0" fontId="0" fillId="0" borderId="15" xfId="0" applyFont="1" applyBorder="1" applyAlignment="1" applyProtection="1">
      <alignment horizontal="left" vertical="center"/>
    </xf>
    <xf numFmtId="0" fontId="0" fillId="0" borderId="13" xfId="0" applyFont="1" applyBorder="1" applyAlignment="1" applyProtection="1">
      <alignment horizontal="left" vertical="center"/>
    </xf>
    <xf numFmtId="0" fontId="59" fillId="0" borderId="0" xfId="0" applyFont="1" applyAlignment="1" applyProtection="1">
      <alignment horizontal="left"/>
    </xf>
    <xf numFmtId="0" fontId="36" fillId="0" borderId="0" xfId="0" applyFont="1" applyAlignment="1" applyProtection="1">
      <alignment horizontal="left" wrapText="1"/>
    </xf>
    <xf numFmtId="0" fontId="36" fillId="0" borderId="0" xfId="0" applyFont="1" applyFill="1" applyAlignment="1" applyProtection="1">
      <alignment horizontal="left" vertical="top" wrapText="1"/>
    </xf>
    <xf numFmtId="0" fontId="58" fillId="0" borderId="0" xfId="0" applyFont="1" applyFill="1" applyAlignment="1" applyProtection="1">
      <alignment horizontal="left" vertical="top" wrapText="1"/>
    </xf>
    <xf numFmtId="0" fontId="33" fillId="0" borderId="0" xfId="0" applyFont="1" applyBorder="1" applyAlignment="1" applyProtection="1">
      <alignment horizontal="right" vertical="center"/>
    </xf>
    <xf numFmtId="14" fontId="45" fillId="0" borderId="0" xfId="0" applyNumberFormat="1" applyFont="1" applyFill="1" applyBorder="1" applyAlignment="1" applyProtection="1">
      <alignment horizontal="right" indent="2"/>
    </xf>
    <xf numFmtId="0" fontId="44" fillId="0" borderId="0" xfId="0" applyFont="1" applyBorder="1" applyAlignment="1" applyProtection="1">
      <alignment horizontal="left" vertical="top" wrapText="1"/>
      <protection locked="0"/>
    </xf>
    <xf numFmtId="0" fontId="44" fillId="0" borderId="15" xfId="0" applyFont="1" applyBorder="1" applyAlignment="1" applyProtection="1">
      <alignment horizontal="left" vertical="top" wrapText="1"/>
      <protection locked="0"/>
    </xf>
    <xf numFmtId="0" fontId="36" fillId="0" borderId="0" xfId="0" applyFont="1" applyAlignment="1" applyProtection="1">
      <alignment horizontal="left" vertical="top" wrapText="1"/>
    </xf>
    <xf numFmtId="0" fontId="55" fillId="0" borderId="0" xfId="0" applyFont="1" applyBorder="1" applyAlignment="1" applyProtection="1">
      <alignment horizontal="left" vertical="center"/>
    </xf>
    <xf numFmtId="0" fontId="55" fillId="0" borderId="0" xfId="0" applyFont="1" applyBorder="1" applyAlignment="1" applyProtection="1">
      <alignment horizontal="right" vertical="center"/>
    </xf>
    <xf numFmtId="0" fontId="57" fillId="0" borderId="0" xfId="0" applyFont="1" applyBorder="1" applyAlignment="1" applyProtection="1">
      <alignment horizontal="center" vertical="center"/>
    </xf>
    <xf numFmtId="14" fontId="45" fillId="0" borderId="0" xfId="0" applyNumberFormat="1" applyFont="1" applyFill="1" applyBorder="1" applyAlignment="1" applyProtection="1">
      <alignment horizontal="right" vertical="top" indent="2"/>
    </xf>
    <xf numFmtId="14" fontId="33" fillId="0" borderId="0" xfId="0" applyNumberFormat="1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top" wrapText="1"/>
      <protection locked="0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0" fillId="0" borderId="0" xfId="0" applyNumberFormat="1" applyProtection="1"/>
    <xf numFmtId="1" fontId="0" fillId="0" borderId="0" xfId="0" applyNumberFormat="1" applyProtection="1"/>
    <xf numFmtId="2" fontId="30" fillId="4" borderId="0" xfId="0" applyNumberFormat="1" applyFont="1" applyFill="1" applyAlignment="1" applyProtection="1">
      <alignment horizontal="left"/>
    </xf>
    <xf numFmtId="0" fontId="9" fillId="0" borderId="16" xfId="0" applyFont="1" applyBorder="1" applyProtection="1">
      <protection locked="0"/>
    </xf>
    <xf numFmtId="14" fontId="9" fillId="0" borderId="16" xfId="0" applyNumberFormat="1" applyFont="1" applyBorder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11" fillId="0" borderId="1" xfId="0" applyNumberFormat="1" applyFont="1" applyFill="1" applyBorder="1" applyAlignment="1" applyProtection="1">
      <alignment vertical="center"/>
      <protection locked="0"/>
    </xf>
    <xf numFmtId="0" fontId="18" fillId="0" borderId="1" xfId="0" applyFont="1" applyFill="1" applyBorder="1" applyAlignment="1" applyProtection="1">
      <alignment horizontal="left"/>
      <protection locked="0"/>
    </xf>
    <xf numFmtId="0" fontId="19" fillId="0" borderId="25" xfId="0" applyFont="1" applyFill="1" applyBorder="1" applyAlignment="1" applyProtection="1">
      <alignment horizontal="left"/>
      <protection locked="0"/>
    </xf>
    <xf numFmtId="0" fontId="19" fillId="0" borderId="16" xfId="0" applyFont="1" applyFill="1" applyBorder="1" applyAlignment="1" applyProtection="1">
      <alignment horizontal="left"/>
      <protection locked="0"/>
    </xf>
    <xf numFmtId="0" fontId="5" fillId="0" borderId="0" xfId="0" applyNumberFormat="1" applyFont="1" applyAlignment="1" applyProtection="1">
      <alignment horizontal="left"/>
      <protection locked="0"/>
    </xf>
    <xf numFmtId="1" fontId="5" fillId="0" borderId="0" xfId="0" applyNumberFormat="1" applyFont="1" applyAlignment="1" applyProtection="1">
      <alignment horizontal="left"/>
      <protection locked="0"/>
    </xf>
    <xf numFmtId="2" fontId="5" fillId="0" borderId="0" xfId="0" applyNumberFormat="1" applyFont="1" applyFill="1" applyAlignment="1" applyProtection="1">
      <alignment horizontal="left"/>
      <protection locked="0"/>
    </xf>
    <xf numFmtId="164" fontId="5" fillId="0" borderId="0" xfId="0" applyNumberFormat="1" applyFont="1" applyAlignment="1" applyProtection="1">
      <alignment horizontal="left"/>
      <protection locked="0"/>
    </xf>
  </cellXfs>
  <cellStyles count="1">
    <cellStyle name="Standard" xfId="0" builtinId="0"/>
  </cellStyles>
  <dxfs count="9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protection locked="0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" formatCode="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64" formatCode="0.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64" formatCode="0.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64" formatCode="0.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64" formatCode="0.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64" formatCode="0.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" formatCode="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64" formatCode="0.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.00"/>
      <protection locked="1" hidden="0"/>
    </dxf>
    <dxf>
      <numFmt numFmtId="2" formatCode="0.00"/>
      <protection locked="1" hidden="0"/>
    </dxf>
    <dxf>
      <numFmt numFmtId="1" formatCode="0"/>
      <protection locked="1" hidden="0"/>
    </dxf>
    <dxf>
      <numFmt numFmtId="0" formatCode="0.00"/>
      <protection locked="1" hidden="0"/>
    </dxf>
    <dxf>
      <numFmt numFmtId="2" formatCode="0.00"/>
      <protection locked="1" hidden="0"/>
    </dxf>
    <dxf>
      <numFmt numFmtId="2" formatCode="0.00"/>
      <protection locked="1" hidden="0"/>
    </dxf>
    <dxf>
      <numFmt numFmtId="0" formatCode="0.00"/>
      <protection locked="1" hidden="0"/>
    </dxf>
    <dxf>
      <numFmt numFmtId="2" formatCode="0.00"/>
      <protection locked="1" hidden="0"/>
    </dxf>
    <dxf>
      <numFmt numFmtId="2" formatCode="0.0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2" formatCode="0.0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"/>
      <protection locked="1" hidden="0"/>
    </dxf>
    <dxf>
      <numFmt numFmtId="1" formatCode="0"/>
      <protection locked="1" hidden="0"/>
    </dxf>
    <dxf>
      <numFmt numFmtId="1" formatCode="0"/>
      <protection locked="1" hidden="0"/>
    </dxf>
    <dxf>
      <numFmt numFmtId="0" formatCode="0.0"/>
      <protection locked="1" hidden="0"/>
    </dxf>
    <dxf>
      <numFmt numFmtId="164" formatCode="0.0"/>
      <protection locked="1" hidden="0"/>
    </dxf>
    <dxf>
      <numFmt numFmtId="1" formatCode="0"/>
      <protection locked="1" hidden="0"/>
    </dxf>
    <dxf>
      <numFmt numFmtId="0" formatCode="0.00"/>
      <protection locked="1" hidden="0"/>
    </dxf>
    <dxf>
      <numFmt numFmtId="2" formatCode="0.00"/>
      <protection locked="1" hidden="0"/>
    </dxf>
    <dxf>
      <numFmt numFmtId="164" formatCode="0.0"/>
      <protection locked="1" hidden="0"/>
    </dxf>
    <dxf>
      <numFmt numFmtId="0" formatCode="0.00"/>
      <protection locked="1" hidden="0"/>
    </dxf>
    <dxf>
      <numFmt numFmtId="2" formatCode="0.00"/>
      <protection locked="1" hidden="0"/>
    </dxf>
    <dxf>
      <numFmt numFmtId="2" formatCode="0.00"/>
      <protection locked="1" hidden="0"/>
    </dxf>
    <dxf>
      <numFmt numFmtId="0" formatCode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2" formatCode="0.00"/>
      <protection locked="1" hidden="0"/>
    </dxf>
    <dxf>
      <numFmt numFmtId="0" formatCode="0.0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General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General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protection locked="1" hidden="0"/>
    </dxf>
    <dxf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0" formatCode="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" formatCode="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numFmt numFmtId="0" formatCode="0.0"/>
      <protection locked="1" hidden="0"/>
    </dxf>
    <dxf>
      <font>
        <b val="0"/>
        <strike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0.0"/>
      <alignment horizontal="left" vertical="bottom" textRotation="0" wrapText="0" indent="0" justifyLastLine="0" shrinkToFit="0" readingOrder="0"/>
      <protection locked="1" hidden="0"/>
    </dxf>
    <dxf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0.0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protection locked="1" hidden="0"/>
    </dxf>
    <dxf>
      <protection locked="1" hidden="0"/>
    </dxf>
    <dxf>
      <numFmt numFmtId="0" formatCode="General"/>
    </dxf>
    <dxf>
      <numFmt numFmtId="1" formatCode="0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0" formatCode="General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alignment horizontal="left" vertical="bottom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</dxf>
    <dxf>
      <numFmt numFmtId="1" formatCode="0"/>
      <alignment horizontal="left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" formatCode="0"/>
      <alignment horizontal="left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1" formatCode="0"/>
      <alignment horizontal="left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4" formatCode="0.0"/>
      <alignment horizontal="left" vertical="center" textRotation="0" wrapText="1" indent="0" justifyLastLine="0" shrinkToFit="0" readingOrder="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4" formatCode="0.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4" formatCode="0.0"/>
      <alignment horizontal="left" vertical="center" textRotation="0" wrapText="1" indent="0" justifyLastLine="0" shrinkToFit="0" readingOrder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4" formatCode="0.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numFmt numFmtId="164" formatCode="0.0"/>
    </dxf>
    <dxf>
      <numFmt numFmtId="1" formatCode="0"/>
    </dxf>
    <dxf>
      <numFmt numFmtId="164" formatCode="0.0"/>
    </dxf>
    <dxf>
      <numFmt numFmtId="1" formatCode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0.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left style="thin">
          <color theme="9" tint="0.39997558519241921"/>
        </left>
      </border>
    </dxf>
    <dxf>
      <numFmt numFmtId="0" formatCode="General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0" formatCode="General"/>
    </dxf>
    <dxf>
      <numFmt numFmtId="164" formatCode="0.0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64" formatCode="0.0"/>
      <alignment horizontal="left" vertical="bottom" textRotation="0" wrapText="0" indent="0" justifyLastLine="0" shrinkToFit="0" readingOrder="0"/>
    </dxf>
    <dxf>
      <numFmt numFmtId="2" formatCode="0.00"/>
    </dxf>
    <dxf>
      <numFmt numFmtId="164" formatCode="0.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color theme="2" tint="-0.24994659260841701"/>
      </font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0" tint="-0.24994659260841701"/>
      </font>
    </dxf>
    <dxf>
      <font>
        <color rgb="FF6C6C6C"/>
      </font>
    </dxf>
    <dxf>
      <font>
        <color theme="0" tint="-0.2499465926084170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000000"/>
      </font>
    </dxf>
    <dxf>
      <fill>
        <patternFill>
          <bgColor theme="0"/>
        </patternFill>
      </fill>
    </dxf>
    <dxf>
      <font>
        <color rgb="FFFF9900"/>
      </font>
    </dxf>
    <dxf>
      <font>
        <b/>
        <i val="0"/>
        <color rgb="FFFF66FF"/>
      </font>
    </dxf>
    <dxf>
      <font>
        <b val="0"/>
        <i val="0"/>
        <color rgb="FFFF66FF"/>
      </font>
    </dxf>
    <dxf>
      <font>
        <b val="0"/>
        <i val="0"/>
        <color theme="2" tint="-0.24994659260841701"/>
      </font>
    </dxf>
    <dxf>
      <font>
        <color rgb="FFFF0000"/>
      </font>
    </dxf>
    <dxf>
      <font>
        <b val="0"/>
        <i val="0"/>
        <color theme="2" tint="-0.24994659260841701"/>
      </font>
    </dxf>
    <dxf>
      <font>
        <color rgb="FFFF9900"/>
      </font>
    </dxf>
    <dxf>
      <font>
        <b val="0"/>
        <i val="0"/>
        <color rgb="FF7030A0"/>
      </font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b/>
        <i val="0"/>
        <color rgb="FFFF66FF"/>
      </font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b/>
        <i val="0"/>
        <color rgb="FFFF66FF"/>
      </font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b/>
        <i val="0"/>
        <color rgb="FFFF66FF"/>
      </font>
    </dxf>
    <dxf>
      <font>
        <color theme="5" tint="0.79998168889431442"/>
      </font>
      <fill>
        <patternFill>
          <bgColor theme="5" tint="0.79998168889431442"/>
        </patternFill>
      </fill>
    </dxf>
    <dxf>
      <font>
        <color theme="9" tint="0.79998168889431442"/>
      </font>
      <fill>
        <patternFill>
          <bgColor theme="9" tint="0.79998168889431442"/>
        </patternFill>
      </fill>
    </dxf>
    <dxf>
      <font>
        <b/>
        <i val="0"/>
        <color rgb="FFFF66FF"/>
      </font>
    </dxf>
    <dxf>
      <numFmt numFmtId="164" formatCode="0.0"/>
    </dxf>
    <dxf>
      <numFmt numFmtId="1" formatCode="0"/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color theme="0"/>
      </font>
    </dxf>
    <dxf>
      <font>
        <b val="0"/>
        <i/>
        <strike val="0"/>
        <color auto="1"/>
      </font>
    </dxf>
    <dxf>
      <font>
        <color rgb="FFFF0000"/>
      </font>
    </dxf>
    <dxf>
      <font>
        <color theme="0"/>
      </font>
    </dxf>
    <dxf>
      <numFmt numFmtId="1" formatCode="0"/>
    </dxf>
  </dxfs>
  <tableStyles count="0" defaultTableStyle="TableStyleMedium2" defaultPivotStyle="PivotStyleLight16"/>
  <colors>
    <mruColors>
      <color rgb="FFAAAAAA"/>
      <color rgb="FFB4B4B4"/>
      <color rgb="FF6C6C6C"/>
      <color rgb="FF717171"/>
      <color rgb="FFCC9933"/>
      <color rgb="FF000000"/>
      <color rgb="FFFFCCFF"/>
      <color rgb="FFFF66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267836</xdr:colOff>
          <xdr:row>1</xdr:row>
          <xdr:rowOff>189808</xdr:rowOff>
        </xdr:from>
        <xdr:to>
          <xdr:col>16</xdr:col>
          <xdr:colOff>286745</xdr:colOff>
          <xdr:row>4</xdr:row>
          <xdr:rowOff>232168</xdr:rowOff>
        </xdr:to>
        <xdr:pic>
          <xdr:nvPicPr>
            <xdr:cNvPr id="17" name="Grafik 16"/>
            <xdr:cNvPicPr>
              <a:picLocks noChangeAspect="1" noChangeArrowheads="1"/>
              <a:extLst>
                <a:ext uri="{84589F7E-364E-4C9E-8A38-B11213B215E9}">
                  <a14:cameraTool cellRange="Kanton" spid="_x0000_s6093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310496" y="380308"/>
              <a:ext cx="2236329" cy="972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668276</xdr:colOff>
          <xdr:row>17</xdr:row>
          <xdr:rowOff>1749</xdr:rowOff>
        </xdr:from>
        <xdr:to>
          <xdr:col>18</xdr:col>
          <xdr:colOff>1173</xdr:colOff>
          <xdr:row>26</xdr:row>
          <xdr:rowOff>60401</xdr:rowOff>
        </xdr:to>
        <xdr:pic>
          <xdr:nvPicPr>
            <xdr:cNvPr id="22" name="Grafik 21"/>
            <xdr:cNvPicPr>
              <a:picLocks noChangeAspect="1" noChangeArrowheads="1"/>
              <a:extLst>
                <a:ext uri="{84589F7E-364E-4C9E-8A38-B11213B215E9}">
                  <a14:cameraTool cellRange="BS_1_Med" spid="_x0000_s6093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666139" y="4211799"/>
              <a:ext cx="809272" cy="1382627"/>
            </a:xfrm>
            <a:prstGeom prst="rect">
              <a:avLst/>
            </a:prstGeom>
            <a:noFill/>
            <a:ln w="3175"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666472</xdr:colOff>
          <xdr:row>27</xdr:row>
          <xdr:rowOff>2009</xdr:rowOff>
        </xdr:from>
        <xdr:to>
          <xdr:col>18</xdr:col>
          <xdr:colOff>1477</xdr:colOff>
          <xdr:row>36</xdr:row>
          <xdr:rowOff>62410</xdr:rowOff>
        </xdr:to>
        <xdr:pic>
          <xdr:nvPicPr>
            <xdr:cNvPr id="23" name="Grafik 22"/>
            <xdr:cNvPicPr>
              <a:picLocks noChangeAspect="1" noChangeArrowheads="1"/>
              <a:extLst>
                <a:ext uri="{84589F7E-364E-4C9E-8A38-B11213B215E9}">
                  <a14:cameraTool cellRange="BS_2_Med" spid="_x0000_s609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664335" y="5736059"/>
              <a:ext cx="811380" cy="13843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669559</xdr:colOff>
          <xdr:row>37</xdr:row>
          <xdr:rowOff>2494</xdr:rowOff>
        </xdr:from>
        <xdr:to>
          <xdr:col>18</xdr:col>
          <xdr:colOff>2456</xdr:colOff>
          <xdr:row>46</xdr:row>
          <xdr:rowOff>57776</xdr:rowOff>
        </xdr:to>
        <xdr:pic>
          <xdr:nvPicPr>
            <xdr:cNvPr id="24" name="Grafik 23"/>
            <xdr:cNvPicPr>
              <a:picLocks noChangeAspect="1" noChangeArrowheads="1"/>
              <a:extLst>
                <a:ext uri="{84589F7E-364E-4C9E-8A38-B11213B215E9}">
                  <a14:cameraTool cellRange="BS_3_Med" spid="_x0000_s6093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677899" y="7233874"/>
              <a:ext cx="811177" cy="13659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667126</xdr:colOff>
          <xdr:row>47</xdr:row>
          <xdr:rowOff>2844</xdr:rowOff>
        </xdr:from>
        <xdr:to>
          <xdr:col>18</xdr:col>
          <xdr:colOff>2131</xdr:colOff>
          <xdr:row>55</xdr:row>
          <xdr:rowOff>99690</xdr:rowOff>
        </xdr:to>
        <xdr:pic>
          <xdr:nvPicPr>
            <xdr:cNvPr id="25" name="Grafik 24"/>
            <xdr:cNvPicPr>
              <a:picLocks noChangeAspect="1" noChangeArrowheads="1"/>
              <a:extLst>
                <a:ext uri="{84589F7E-364E-4C9E-8A38-B11213B215E9}">
                  <a14:cameraTool cellRange="BS_4_Med" spid="_x0000_s6093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1310219" y="8586202"/>
              <a:ext cx="813600" cy="136037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350421</xdr:colOff>
          <xdr:row>59</xdr:row>
          <xdr:rowOff>2438</xdr:rowOff>
        </xdr:from>
        <xdr:to>
          <xdr:col>18</xdr:col>
          <xdr:colOff>1985</xdr:colOff>
          <xdr:row>64</xdr:row>
          <xdr:rowOff>163958</xdr:rowOff>
        </xdr:to>
        <xdr:pic>
          <xdr:nvPicPr>
            <xdr:cNvPr id="27" name="Grafik 26"/>
            <xdr:cNvPicPr>
              <a:picLocks noChangeAspect="1" noChangeArrowheads="1"/>
              <a:extLst>
                <a:ext uri="{84589F7E-364E-4C9E-8A38-B11213B215E9}">
                  <a14:cameraTool cellRange="FormatBeurt" spid="_x0000_s6093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088781" y="11028578"/>
              <a:ext cx="1129844" cy="11749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23255</xdr:colOff>
          <xdr:row>68</xdr:row>
          <xdr:rowOff>7092</xdr:rowOff>
        </xdr:from>
        <xdr:to>
          <xdr:col>15</xdr:col>
          <xdr:colOff>27297</xdr:colOff>
          <xdr:row>70</xdr:row>
          <xdr:rowOff>186176</xdr:rowOff>
        </xdr:to>
        <xdr:pic>
          <xdr:nvPicPr>
            <xdr:cNvPr id="8" name="Grafik 7"/>
            <xdr:cNvPicPr preferRelativeResize="0">
              <a:picLocks noChangeArrowheads="1"/>
              <a:extLst>
                <a:ext uri="{84589F7E-364E-4C9E-8A38-B11213B215E9}">
                  <a14:cameraTool cellRange="Unterschrift" spid="_x0000_s60936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 bwMode="auto">
            <a:xfrm>
              <a:off x="3649105" y="12491192"/>
              <a:ext cx="3775942" cy="57278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1059669</xdr:colOff>
      <xdr:row>0</xdr:row>
      <xdr:rowOff>31574</xdr:rowOff>
    </xdr:from>
    <xdr:to>
      <xdr:col>0</xdr:col>
      <xdr:colOff>2081579</xdr:colOff>
      <xdr:row>0</xdr:row>
      <xdr:rowOff>1431967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669" y="31574"/>
          <a:ext cx="1021910" cy="1400393"/>
        </a:xfrm>
        <a:prstGeom prst="rect">
          <a:avLst/>
        </a:prstGeom>
      </xdr:spPr>
    </xdr:pic>
    <xdr:clientData/>
  </xdr:twoCellAnchor>
  <xdr:twoCellAnchor editAs="oneCell">
    <xdr:from>
      <xdr:col>0</xdr:col>
      <xdr:colOff>1376990</xdr:colOff>
      <xdr:row>1</xdr:row>
      <xdr:rowOff>37006</xdr:rowOff>
    </xdr:from>
    <xdr:to>
      <xdr:col>0</xdr:col>
      <xdr:colOff>2659064</xdr:colOff>
      <xdr:row>1</xdr:row>
      <xdr:rowOff>1452283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990" y="1484806"/>
          <a:ext cx="1282074" cy="1415277"/>
        </a:xfrm>
        <a:prstGeom prst="rect">
          <a:avLst/>
        </a:prstGeom>
      </xdr:spPr>
    </xdr:pic>
    <xdr:clientData/>
  </xdr:twoCellAnchor>
  <xdr:twoCellAnchor editAs="oneCell">
    <xdr:from>
      <xdr:col>0</xdr:col>
      <xdr:colOff>26440</xdr:colOff>
      <xdr:row>2</xdr:row>
      <xdr:rowOff>34340</xdr:rowOff>
    </xdr:from>
    <xdr:to>
      <xdr:col>0</xdr:col>
      <xdr:colOff>3194440</xdr:colOff>
      <xdr:row>2</xdr:row>
      <xdr:rowOff>1537862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0" t="5468" r="4824" b="6181"/>
        <a:stretch/>
      </xdr:blipFill>
      <xdr:spPr>
        <a:xfrm>
          <a:off x="26440" y="2976832"/>
          <a:ext cx="3168000" cy="1503522"/>
        </a:xfrm>
        <a:prstGeom prst="rect">
          <a:avLst/>
        </a:prstGeom>
      </xdr:spPr>
    </xdr:pic>
    <xdr:clientData/>
  </xdr:twoCellAnchor>
  <xdr:twoCellAnchor editAs="oneCell">
    <xdr:from>
      <xdr:col>0</xdr:col>
      <xdr:colOff>117325</xdr:colOff>
      <xdr:row>3</xdr:row>
      <xdr:rowOff>89620</xdr:rowOff>
    </xdr:from>
    <xdr:to>
      <xdr:col>0</xdr:col>
      <xdr:colOff>3084782</xdr:colOff>
      <xdr:row>3</xdr:row>
      <xdr:rowOff>1349620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25" y="4670801"/>
          <a:ext cx="2967457" cy="12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5922</xdr:colOff>
      <xdr:row>0</xdr:row>
      <xdr:rowOff>17239</xdr:rowOff>
    </xdr:from>
    <xdr:to>
      <xdr:col>0</xdr:col>
      <xdr:colOff>819716</xdr:colOff>
      <xdr:row>0</xdr:row>
      <xdr:rowOff>1385239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2" y="17239"/>
          <a:ext cx="813794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6462</xdr:colOff>
      <xdr:row>2</xdr:row>
      <xdr:rowOff>16720</xdr:rowOff>
    </xdr:from>
    <xdr:to>
      <xdr:col>0</xdr:col>
      <xdr:colOff>820255</xdr:colOff>
      <xdr:row>2</xdr:row>
      <xdr:rowOff>1384720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2" y="3187184"/>
          <a:ext cx="813793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5922</xdr:colOff>
      <xdr:row>1</xdr:row>
      <xdr:rowOff>16753</xdr:rowOff>
    </xdr:from>
    <xdr:to>
      <xdr:col>0</xdr:col>
      <xdr:colOff>819680</xdr:colOff>
      <xdr:row>1</xdr:row>
      <xdr:rowOff>1384753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2" y="1738057"/>
          <a:ext cx="813758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3948</xdr:colOff>
      <xdr:row>0</xdr:row>
      <xdr:rowOff>13473</xdr:rowOff>
    </xdr:from>
    <xdr:to>
      <xdr:col>0</xdr:col>
      <xdr:colOff>1137806</xdr:colOff>
      <xdr:row>0</xdr:row>
      <xdr:rowOff>1170191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" y="13473"/>
          <a:ext cx="1133858" cy="1156718"/>
        </a:xfrm>
        <a:prstGeom prst="rect">
          <a:avLst/>
        </a:prstGeom>
      </xdr:spPr>
    </xdr:pic>
    <xdr:clientData/>
  </xdr:twoCellAnchor>
  <xdr:twoCellAnchor editAs="oneCell">
    <xdr:from>
      <xdr:col>0</xdr:col>
      <xdr:colOff>5198</xdr:colOff>
      <xdr:row>2</xdr:row>
      <xdr:rowOff>14382</xdr:rowOff>
    </xdr:from>
    <xdr:to>
      <xdr:col>0</xdr:col>
      <xdr:colOff>1140067</xdr:colOff>
      <xdr:row>2</xdr:row>
      <xdr:rowOff>1171100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" y="2376582"/>
          <a:ext cx="1134869" cy="1156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</xdr:colOff>
      <xdr:row>1</xdr:row>
      <xdr:rowOff>14083</xdr:rowOff>
    </xdr:from>
    <xdr:to>
      <xdr:col>0</xdr:col>
      <xdr:colOff>1137728</xdr:colOff>
      <xdr:row>1</xdr:row>
      <xdr:rowOff>1170801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" y="1195183"/>
          <a:ext cx="1133858" cy="115671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6" name="Geschlecht" displayName="Geschlecht" ref="E18:E48" totalsRowShown="0" headerRowDxfId="332" dataDxfId="54">
  <autoFilter ref="E18:E48"/>
  <tableColumns count="1">
    <tableColumn id="1" name="Geschlecht (Skala)" dataDxfId="5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39" name="ZwölfMinLaufHalleResultat" displayName="ZwölfMinLaufHalleResultat" ref="AA18:AA48" totalsRowShown="0" headerRowDxfId="315" dataDxfId="38">
  <autoFilter ref="AA18:AA48"/>
  <tableColumns count="1">
    <tableColumn id="1" name="Resultat" dataDxfId="39"/>
  </tableColumns>
  <tableStyleInfo name="TableStyleMedium2" showFirstColumn="0" showLastColumn="0" showRowStripes="1" showColumnStripes="0"/>
</table>
</file>

<file path=xl/tables/table100.xml><?xml version="1.0" encoding="utf-8"?>
<table xmlns="http://schemas.openxmlformats.org/spreadsheetml/2006/main" id="204" name="TanzenGerundet" displayName="TanzenGerundet" ref="KK18:KK48" totalsRowShown="0" headerRowDxfId="90" dataDxfId="89">
  <autoFilter ref="KK18:KK48"/>
  <tableColumns count="1">
    <tableColumn id="1" name="Rundung" dataDxfId="91">
      <calculatedColumnFormula>IF(KK$16,IF(KL$16=0.5,MROUND(TanzenResultat[[#This Row],[Resultat]],KL$16),ROUND(TanzenResultat[[#This Row],[Resultat]],KL$16)),ROUNDDOWN(TanzenResultat[[#This Row],[Resultat]],KL$16))</calculatedColumnFormula>
    </tableColumn>
  </tableColumns>
  <tableStyleInfo name="TableStyleMedium4" showFirstColumn="0" showLastColumn="0" showRowStripes="1" showColumnStripes="0"/>
</table>
</file>

<file path=xl/tables/table101.xml><?xml version="1.0" encoding="utf-8"?>
<table xmlns="http://schemas.openxmlformats.org/spreadsheetml/2006/main" id="205" name="RopeSkippingGerundet" displayName="RopeSkippingGerundet" ref="KU18:KU48" totalsRowShown="0" headerRowDxfId="87" dataDxfId="86">
  <autoFilter ref="KU18:KU48"/>
  <tableColumns count="1">
    <tableColumn id="1" name="Rundung" dataDxfId="88">
      <calculatedColumnFormula>IF(KU$16,IF(KV$16=0.5,MROUND(RopeSkippingResultat[[#This Row],[Resultat]],KV$16),ROUND(RopeSkippingResultat[[#This Row],[Resultat]],KV$16)),ROUNDDOWN(RopeSkippingResultat[[#This Row],[Resultat]],KV$16))</calculatedColumnFormula>
    </tableColumn>
  </tableColumns>
  <tableStyleInfo name="TableStyleMedium4" showFirstColumn="0" showLastColumn="0" showRowStripes="1" showColumnStripes="0"/>
</table>
</file>

<file path=xl/tables/table102.xml><?xml version="1.0" encoding="utf-8"?>
<table xmlns="http://schemas.openxmlformats.org/spreadsheetml/2006/main" id="206" name="AerobicGerundet" displayName="AerobicGerundet" ref="LE18:LE48" totalsRowShown="0" headerRowDxfId="84" dataDxfId="83">
  <autoFilter ref="LE18:LE48"/>
  <tableColumns count="1">
    <tableColumn id="1" name="Rundung" dataDxfId="85">
      <calculatedColumnFormula>IF(LE$16,IF(LF$16=0.5,MROUND(AerobicResultat[[#This Row],[Resultat]],LF$16),ROUND(AerobicResultat[[#This Row],[Resultat]],LF$16)),ROUNDDOWN(AerobicResultat[[#This Row],[Resultat]],LF$16))</calculatedColumnFormula>
    </tableColumn>
  </tableColumns>
  <tableStyleInfo name="TableStyleMedium4" showFirstColumn="0" showLastColumn="0" showRowStripes="1" showColumnStripes="0"/>
</table>
</file>

<file path=xl/tables/table103.xml><?xml version="1.0" encoding="utf-8"?>
<table xmlns="http://schemas.openxmlformats.org/spreadsheetml/2006/main" id="207" name="BasketballGerundet" displayName="BasketballGerundet" ref="MN18:MN48" totalsRowShown="0" headerRowDxfId="81" dataDxfId="80">
  <autoFilter ref="MN18:MN48"/>
  <tableColumns count="1">
    <tableColumn id="1" name="Rundung" dataDxfId="82">
      <calculatedColumnFormula>IF(MN$16,IF(MO$16=0.5,MROUND(BasketballResultat[[#This Row],[Resultat]],MO$16),ROUND(BasketballResultat[[#This Row],[Resultat]],MO$16)),ROUNDDOWN(BasketballResultat[[#This Row],[Resultat]],MO$16))</calculatedColumnFormula>
    </tableColumn>
  </tableColumns>
  <tableStyleInfo name="TableStyleMedium4" showFirstColumn="0" showLastColumn="0" showRowStripes="1" showColumnStripes="0"/>
</table>
</file>

<file path=xl/tables/table104.xml><?xml version="1.0" encoding="utf-8"?>
<table xmlns="http://schemas.openxmlformats.org/spreadsheetml/2006/main" id="208" name="FussballGerundet" displayName="FussballGerundet" ref="MX18:MX48" totalsRowShown="0" headerRowDxfId="78" dataDxfId="77">
  <autoFilter ref="MX18:MX48"/>
  <tableColumns count="1">
    <tableColumn id="1" name="Rundung" dataDxfId="79">
      <calculatedColumnFormula>IF(MX$16,IF(MY$16=0.5,MROUND(FussballResultat[[#This Row],[Resultat]],MY$16),ROUND(FussballResultat[[#This Row],[Resultat]],MY$16)),ROUNDDOWN(FussballResultat[[#This Row],[Resultat]],MY$16))</calculatedColumnFormula>
    </tableColumn>
  </tableColumns>
  <tableStyleInfo name="TableStyleMedium4" showFirstColumn="0" showLastColumn="0" showRowStripes="1" showColumnStripes="0"/>
</table>
</file>

<file path=xl/tables/table105.xml><?xml version="1.0" encoding="utf-8"?>
<table xmlns="http://schemas.openxmlformats.org/spreadsheetml/2006/main" id="209" name="HandballGerundet" displayName="HandballGerundet" ref="NH18:NH48" totalsRowShown="0" headerRowDxfId="75" dataDxfId="74">
  <autoFilter ref="NH18:NH48"/>
  <tableColumns count="1">
    <tableColumn id="1" name="Rundung" dataDxfId="76">
      <calculatedColumnFormula>IF(NH$16,IF(NI$16=0.5,MROUND(HandballResultat[[#This Row],[Resultat]],NI$16),ROUND(HandballResultat[[#This Row],[Resultat]],NI$16)),ROUNDDOWN(HandballResultat[[#This Row],[Resultat]],NI$16))</calculatedColumnFormula>
    </tableColumn>
  </tableColumns>
  <tableStyleInfo name="TableStyleMedium4" showFirstColumn="0" showLastColumn="0" showRowStripes="1" showColumnStripes="0"/>
</table>
</file>

<file path=xl/tables/table106.xml><?xml version="1.0" encoding="utf-8"?>
<table xmlns="http://schemas.openxmlformats.org/spreadsheetml/2006/main" id="213" name="UnihockeyGerundet" displayName="UnihockeyGerundet" ref="NR18:NR48" totalsRowShown="0" headerRowDxfId="72" dataDxfId="71">
  <autoFilter ref="NR18:NR48"/>
  <tableColumns count="1">
    <tableColumn id="1" name="Rundung" dataDxfId="73">
      <calculatedColumnFormula>IF(NR$16,IF(NS$16=0.5,MROUND(UnihockeyResultat[[#This Row],[Resultat]],NS$16),ROUND(UnihockeyResultat[[#This Row],[Resultat]],NS$16)),ROUNDDOWN(UnihockeyResultat[[#This Row],[Resultat]],NS$16))</calculatedColumnFormula>
    </tableColumn>
  </tableColumns>
  <tableStyleInfo name="TableStyleMedium4" showFirstColumn="0" showLastColumn="0" showRowStripes="1" showColumnStripes="0"/>
</table>
</file>

<file path=xl/tables/table107.xml><?xml version="1.0" encoding="utf-8"?>
<table xmlns="http://schemas.openxmlformats.org/spreadsheetml/2006/main" id="214" name="VolleyballGerundet" displayName="VolleyballGerundet" ref="OB18:OB48" totalsRowShown="0" headerRowDxfId="69" dataDxfId="68">
  <autoFilter ref="OB18:OB48"/>
  <tableColumns count="1">
    <tableColumn id="1" name="Rundung" dataDxfId="70">
      <calculatedColumnFormula>IF(OB$16,IF(OC$16=0.5,MROUND(VolleyballResultat[[#This Row],[Resultat]],OC$16),ROUND(VolleyballResultat[[#This Row],[Resultat]],OC$16)),ROUNDDOWN(VolleyballResultat[[#This Row],[Resultat]],OC$16))</calculatedColumnFormula>
    </tableColumn>
  </tableColumns>
  <tableStyleInfo name="TableStyleMedium4" showFirstColumn="0" showLastColumn="0" showRowStripes="1" showColumnStripes="0"/>
</table>
</file>

<file path=xl/tables/table108.xml><?xml version="1.0" encoding="utf-8"?>
<table xmlns="http://schemas.openxmlformats.org/spreadsheetml/2006/main" id="215" name="SchwimmenGerundet" displayName="SchwimmenGerundet" ref="TO18:TO48" totalsRowShown="0" headerRowDxfId="66" dataDxfId="65">
  <autoFilter ref="TO18:TO48"/>
  <tableColumns count="1">
    <tableColumn id="1" name="Rundung" dataDxfId="67">
      <calculatedColumnFormula>IF(TO$16,IF(TP$16=0.5,MROUND(SchwimmenResultat[[#This Row],[Resultat]],TP$16),ROUND(SchwimmenResultat[[#This Row],[Resultat]],TP$16)),ROUNDDOWN(SchwimmenResultat[[#This Row],[Resultat]],TP$16))</calculatedColumnFormula>
    </tableColumn>
  </tableColumns>
  <tableStyleInfo name="TableStyleMedium4" showFirstColumn="0" showLastColumn="0" showRowStripes="1" showColumnStripes="0"/>
</table>
</file>

<file path=xl/tables/table109.xml><?xml version="1.0" encoding="utf-8"?>
<table xmlns="http://schemas.openxmlformats.org/spreadsheetml/2006/main" id="216" name="BeweglichkeitGerundet" displayName="BeweglichkeitGerundet" ref="UJ18:UJ48" totalsRowShown="0" headerRowDxfId="63" dataDxfId="62">
  <autoFilter ref="UJ18:UJ48"/>
  <tableColumns count="1">
    <tableColumn id="1" name="Rundung" dataDxfId="64">
      <calculatedColumnFormula>IF(UJ$16,IF(UK$16=0.5,MROUND(BeweglichkeitResultat[[#This Row],[Resultat]],UK$16),ROUND(BeweglichkeitResultat[[#This Row],[Resultat]],UK$16)),ROUNDDOWN(BeweglichkeitResultat[[#This Row],[Resultat]],UK$16))</calculatedColumnFormula>
    </tableColumn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40" name="ZwölfMinLaufHalleNote" displayName="ZwölfMinLaufHalleNote" ref="AI18:AI48" totalsRowShown="0" headerRowDxfId="313" dataDxfId="312">
  <autoFilter ref="AI18:AI48"/>
  <tableColumns count="1">
    <tableColumn id="1" name="Note" dataDxfId="314">
      <calculatedColumnFormula>IF(OR(AH19="",ZwölfMinLaufHalleSkalawert[[#This Row],[Skala-Wert]]=Stammdaten!$AX$19),"",INDEX(INDIRECT(AH19),MATCH(ZwölfMinLaufHalleSkalawert[[#This Row],[Skala-Wert]],INDIRECT(AE19),0)))</calculatedColumnFormula>
    </tableColumn>
  </tableColumns>
  <tableStyleInfo name="TableStyleMedium4" showFirstColumn="0" showLastColumn="0" showRowStripes="1" showColumnStripes="0"/>
</table>
</file>

<file path=xl/tables/table110.xml><?xml version="1.0" encoding="utf-8"?>
<table xmlns="http://schemas.openxmlformats.org/spreadsheetml/2006/main" id="217" name="RumpfkraftGerundet" displayName="RumpfkraftGerundet" ref="US18:US48" totalsRowShown="0" headerRowDxfId="60" dataDxfId="59">
  <autoFilter ref="US18:US48"/>
  <tableColumns count="1">
    <tableColumn id="1" name="Rundung" dataDxfId="61">
      <calculatedColumnFormula>IF(US$16,IF(UT$16=0.5,MROUND(RumpfkraftResultat[[#This Row],[Resultat]],UT$16),ROUND(RumpfkraftResultat[[#This Row],[Resultat]],UT$16)),ROUNDDOWN(RumpfkraftResultat[[#This Row],[Resultat]],UT$16))</calculatedColumnFormula>
    </tableColumn>
  </tableColumns>
  <tableStyleInfo name="TableStyleMedium4" showFirstColumn="0" showLastColumn="0" showRowStripes="1" showColumnStripes="0"/>
</table>
</file>

<file path=xl/tables/table111.xml><?xml version="1.0" encoding="utf-8"?>
<table xmlns="http://schemas.openxmlformats.org/spreadsheetml/2006/main" id="218" name="KonditionsparcoursGerundet" displayName="KonditionsparcoursGerundet" ref="VN18:VN48" totalsRowShown="0" headerRowDxfId="57" dataDxfId="56">
  <autoFilter ref="VN18:VN48"/>
  <tableColumns count="1">
    <tableColumn id="1" name="Rundung" dataDxfId="58">
      <calculatedColumnFormula>IF(VN$16,IF(VO$16=0.5,MROUND(KonditionsparcoursResultat[[#This Row],[Resultat]],VO$16),ROUND(KonditionsparcoursResultat[[#This Row],[Resultat]],VO$16)),ROUNDDOWN(KonditionsparcoursResultat[[#This Row],[Resultat]],VO$16))</calculatedColumnFormula>
    </tableColumn>
  </tableColumns>
  <tableStyleInfo name="TableStyleMedium4" showFirstColumn="0" showLastColumn="0" showRowStripes="1" showColumnStripes="0"/>
</table>
</file>

<file path=xl/tables/table112.xml><?xml version="1.0" encoding="utf-8"?>
<table xmlns="http://schemas.openxmlformats.org/spreadsheetml/2006/main" id="285" name="AuswDipl0" displayName="AuswDipl0" ref="A5:DB36" totalsRowShown="0" headerRowDxfId="903" dataDxfId="902">
  <autoFilter ref="A5:DB36"/>
  <tableColumns count="106">
    <tableColumn id="1" name="Nummer" dataDxfId="901"/>
    <tableColumn id="5" name="Sprint0" dataDxfId="900"/>
    <tableColumn id="20" name="Sprint00" dataDxfId="899">
      <calculatedColumnFormula>IFERROR(VLOOKUP(AuswDipl0[[#This Row],[Sprint0]],INDIRECT($A$2),1,0),"kD")</calculatedColumnFormula>
    </tableColumn>
    <tableColumn id="18" name="Sprint000" dataDxfId="898">
      <calculatedColumnFormula>IF(AuswDipl0[[#This Row],[Sprint00]]="kD",$B$4,AuswDipl0[[#This Row],[Sprint0]])</calculatedColumnFormula>
    </tableColumn>
    <tableColumn id="39" name="Sprint001" dataDxfId="897"/>
    <tableColumn id="2" name="SprintMass" dataDxfId="896">
      <calculatedColumnFormula>IF(VLOOKUP(AuswDipl0[[#This Row],[Nummer]],_Diplom,F$6,FALSE)="","",VLOOKUP(AuswDipl0[[#This Row],[Nummer]],_Diplom,F$6,FALSE))</calculatedColumnFormula>
    </tableColumn>
    <tableColumn id="3" name="Sprint1" dataDxfId="895">
      <calculatedColumnFormula>IF(AuswDipl0[[#This Row],[Sprint00]]="kD",MID(AuswDipl0[[#This Row],[Sprint0]],FIND(" ",AuswDipl0[[#This Row],[Sprint0]],1)+1,LEN(AuswDipl0[[#This Row],[Sprint0]])),VLOOKUP(AuswDipl0[[#This Row],[Nummer]],_Diplom,G$6,FALSE))</calculatedColumnFormula>
    </tableColumn>
    <tableColumn id="4" name="Sprint2" dataDxfId="894"/>
    <tableColumn id="6" name="Ausdauer0" dataDxfId="893"/>
    <tableColumn id="21" name="Ausdauer00" dataDxfId="892">
      <calculatedColumnFormula>IFERROR(VLOOKUP(AuswDipl0[[#This Row],[Ausdauer0]],INDIRECT($A$2),1,0),$I$4)</calculatedColumnFormula>
    </tableColumn>
    <tableColumn id="19" name="Ausdauer000" dataDxfId="891">
      <calculatedColumnFormula>IF(AuswDipl0[[#This Row],[Ausdauer00]]=$I$4,MID(AuswDipl0[[#This Row],[Ausdauer0]],FIND(" ",AuswDipl0[[#This Row],[Ausdauer0]],1)+1,LEN(AuswDipl0[[#This Row],[Ausdauer0]])),"")</calculatedColumnFormula>
    </tableColumn>
    <tableColumn id="55" name="Ausdauer001" dataDxfId="890"/>
    <tableColumn id="7" name="AusdauerMass" dataDxfId="889">
      <calculatedColumnFormula>IF(VLOOKUP(AuswDipl0[[#This Row],[Nummer]],_Diplom,M$6,FALSE)="","",VLOOKUP(AuswDipl0[[#This Row],[Nummer]],_Diplom,M$6,FALSE))</calculatedColumnFormula>
    </tableColumn>
    <tableColumn id="8" name="Ausdauer1" dataDxfId="888">
      <calculatedColumnFormula>IF(AuswDipl0[[#This Row],[Ausdauer00]]="kD",MID(AuswDipl0[[#This Row],[Ausdauer0]],FIND(" ",AuswDipl0[[#This Row],[Ausdauer0]],1)+1,LEN(AuswDipl0[[#This Row],[Ausdauer0]])),VLOOKUP(AuswDipl0[[#This Row],[Nummer]],_Diplom,N$6,FALSE))</calculatedColumnFormula>
    </tableColumn>
    <tableColumn id="9" name="Ausdauer2" dataDxfId="887"/>
    <tableColumn id="10" name="Sprung0" dataDxfId="886"/>
    <tableColumn id="23" name="Sprung00" dataDxfId="885">
      <calculatedColumnFormula>IFERROR(VLOOKUP(AuswDipl0[[#This Row],[Sprung0]],INDIRECT($A$2),1,0),$P$4)</calculatedColumnFormula>
    </tableColumn>
    <tableColumn id="22" name="Sprung000" dataDxfId="884">
      <calculatedColumnFormula>IF(AuswDipl0[[#This Row],[Sprung00]]=$P$4,MID(AuswDipl0[[#This Row],[Sprung0]],FIND(" ",AuswDipl0[[#This Row],[Sprung0]],1)+1,LEN(AuswDipl0[[#This Row],[Sprung0]])),"")</calculatedColumnFormula>
    </tableColumn>
    <tableColumn id="60" name="Sprung001" dataDxfId="883"/>
    <tableColumn id="11" name="SprungMass" dataDxfId="882"/>
    <tableColumn id="12" name="Sprung1" dataDxfId="881"/>
    <tableColumn id="13" name="Sprung2" dataDxfId="880"/>
    <tableColumn id="14" name="Wurf0" dataDxfId="879"/>
    <tableColumn id="25" name="Wurf00" dataDxfId="878">
      <calculatedColumnFormula>IFERROR(VLOOKUP(AuswDipl0[[#This Row],[Wurf0]],INDIRECT($A$2),1,0),$W$4)</calculatedColumnFormula>
    </tableColumn>
    <tableColumn id="24" name="Wurf000" dataDxfId="877">
      <calculatedColumnFormula>IF(AuswDipl0[[#This Row],[Wurf00]]=$W$4,MID(AuswDipl0[[#This Row],[Wurf0]],FIND(" ",AuswDipl0[[#This Row],[Wurf0]],1)+1,LEN(AuswDipl0[[#This Row],[Wurf0]])),"")</calculatedColumnFormula>
    </tableColumn>
    <tableColumn id="61" name="Wurf001" dataDxfId="876"/>
    <tableColumn id="15" name="WurfMass" dataDxfId="875"/>
    <tableColumn id="16" name="Wurf1" dataDxfId="874">
      <calculatedColumnFormula>IF(AuswDipl0[[#This Row],[Wurf00]]="kD",MID(AuswDipl0[[#This Row],[Wurf0]],FIND(" ",AuswDipl0[[#This Row],[Wurf0]],1)+1,LEN(AuswDipl0[[#This Row],[Wurf0]])),VLOOKUP(AuswDipl0[[#This Row],[Nummer]],_Diplom,AB$6,FALSE))</calculatedColumnFormula>
    </tableColumn>
    <tableColumn id="17" name="Wurf2" dataDxfId="873"/>
    <tableColumn id="101" name="ErGe_Txt1" dataDxfId="872"/>
    <tableColumn id="100" name="ErGe_Txt2" dataDxfId="871"/>
    <tableColumn id="40" name="ErGe_Txt3" dataDxfId="870">
      <calculatedColumnFormula>IF(AuswDipl0[[#This Row],[ErGe_Höchst]]&lt;&gt;"",AuswDipl0[[#This Row],[ErGe_Höchst]],AuswDipl0[[#This Row],[ErGe_Txt2]])</calculatedColumnFormula>
    </tableColumn>
    <tableColumn id="99" name="ErGe_Mass" dataDxfId="869"/>
    <tableColumn id="92" name="ErGe_Res1" dataDxfId="868"/>
    <tableColumn id="84" name="ErGe_Res2" dataDxfId="867"/>
    <tableColumn id="81" name="ErGe_Höchst" dataDxfId="866"/>
    <tableColumn id="80" name="ZwGe_Txt1" dataDxfId="865"/>
    <tableColumn id="79" name="ZwGe_Txt2" dataDxfId="864"/>
    <tableColumn id="41" name="ZwGe_Txt3" dataDxfId="863">
      <calculatedColumnFormula>IF(AuswDipl0[[#This Row],[ZwGe_Höchst]]&lt;&gt;"",AuswDipl0[[#This Row],[ZwGe_Höchst]],AuswDipl0[[#This Row],[ZwGe_Txt2]])</calculatedColumnFormula>
    </tableColumn>
    <tableColumn id="102" name="ZwGe_Mass" dataDxfId="862"/>
    <tableColumn id="66" name="ZwGe_Res1" dataDxfId="861"/>
    <tableColumn id="65" name="ZwGe_Res2" dataDxfId="860"/>
    <tableColumn id="64" name="ZwGe_Höchst" dataDxfId="859"/>
    <tableColumn id="59" name="DrGe_Txt1" dataDxfId="858"/>
    <tableColumn id="58" name="DrGe_Txt2" dataDxfId="857"/>
    <tableColumn id="52" name="DrGe_Txt3" dataDxfId="856">
      <calculatedColumnFormula>IF(AuswDipl0[[#This Row],[DrGe_Höchst]]&lt;&gt;"",AuswDipl0[[#This Row],[DrGe_Höchst]],AuswDipl0[[#This Row],[DrGe_Txt2]])</calculatedColumnFormula>
    </tableColumn>
    <tableColumn id="57" name="DrGe_Mass" dataDxfId="855"/>
    <tableColumn id="56" name="DrGe_Res1" dataDxfId="854"/>
    <tableColumn id="54" name="DrGe_Res2" dataDxfId="853"/>
    <tableColumn id="53" name="DrGe_Höchst" dataDxfId="852"/>
    <tableColumn id="31" name="Parkour_Txt1" dataDxfId="851"/>
    <tableColumn id="42" name="ParkourPkte0" dataDxfId="850">
      <calculatedColumnFormula>INDEX(INDIRECT($AZ$2),AuswDipl0[[#This Row],[Nummer]])</calculatedColumnFormula>
    </tableColumn>
    <tableColumn id="88" name="ParkourPkte00" dataDxfId="849"/>
    <tableColumn id="44" name="ParkourPkte1" dataDxfId="848">
      <calculatedColumnFormula>IF(AND(ISNUMBER(AuswDipl0[[#This Row],[ParkourPkte0]]),AuswDipl0[[#This Row],[ParkourPkte0]]&gt;0),AuswDipl0[[#This Row],[ParkourPkte0]],"")</calculatedColumnFormula>
    </tableColumn>
    <tableColumn id="45" name="ParkourPkte2" dataDxfId="847">
      <calculatedColumnFormula>IF(AuswDipl0[[#This Row],[ParkourMax]]&lt;&gt;"",AuswDipl0[[#This Row],[ParkourMax]],Stammdaten!$AY$27)</calculatedColumnFormula>
    </tableColumn>
    <tableColumn id="49" name="ParkourSkala" dataDxfId="846"/>
    <tableColumn id="43" name="ParkourMax" dataDxfId="845"/>
    <tableColumn id="46" name="BS_3_Txt0" dataDxfId="844"/>
    <tableColumn id="47" name="BS_3_Txt1" dataDxfId="843">
      <calculatedColumnFormula>IFERROR(VLOOKUP(AuswDipl0[[#This Row],[BS_3_Txt0]],INDIRECT($A$2),1,0),$BG$1)</calculatedColumnFormula>
    </tableColumn>
    <tableColumn id="48" name="BS_3_Txt2" dataDxfId="842">
      <calculatedColumnFormula>IF(AuswDipl0[[#This Row],[BS_3_Max]]&lt;&gt;"",AuswDipl0[[#This Row],[BS_3_Max]],AuswDipl0[[#This Row],[BS_3_Txt1]])</calculatedColumnFormula>
    </tableColumn>
    <tableColumn id="50" name="BS_3_Pkte0" dataDxfId="841">
      <calculatedColumnFormula>VLOOKUP(AuswDipl0[[#This Row],[Nummer]],_Diplom,BI$6,FALSE)</calculatedColumnFormula>
    </tableColumn>
    <tableColumn id="90" name="BS_3_Pkte1" dataDxfId="840"/>
    <tableColumn id="89" name="BS_3_Mass" dataDxfId="839"/>
    <tableColumn id="51" name="BS_3_Max" dataDxfId="838"/>
    <tableColumn id="149" name="ErSp_Txt1" dataDxfId="837"/>
    <tableColumn id="148" name="ErSp_Txt2" dataDxfId="836"/>
    <tableColumn id="36" name="ErSp_Txt3" dataDxfId="835"/>
    <tableColumn id="147" name="ErSp_Mass" dataDxfId="834"/>
    <tableColumn id="146" name="ErSp_Res1" dataDxfId="833"/>
    <tableColumn id="145" name="ErSp_Res2" dataDxfId="832"/>
    <tableColumn id="144" name="ErSp_Skala1" dataDxfId="831"/>
    <tableColumn id="142" name="ErSp_Höchst" dataDxfId="830"/>
    <tableColumn id="141" name="ZwSp_Txt1" dataDxfId="829"/>
    <tableColumn id="140" name="ZwSp_Txt2" dataDxfId="828"/>
    <tableColumn id="37" name="ZwSp_Txt3" dataDxfId="827">
      <calculatedColumnFormula>IF(AuswDipl0[[#This Row],[ZwSp_Höchst]]&lt;&gt;"",AuswDipl0[[#This Row],[ZwSp_Höchst]],IF(AuswDipl0[[#This Row],[ZwSp_Txt2]]=Stammdaten!$AY$27,AuswDipl0[[#This Row],[ZwSp_Txt2]],""))</calculatedColumnFormula>
    </tableColumn>
    <tableColumn id="139" name="ZwSp_Mass" dataDxfId="826"/>
    <tableColumn id="138" name="ZwSp_Res1" dataDxfId="825"/>
    <tableColumn id="137" name="ZwSp_Res2" dataDxfId="824"/>
    <tableColumn id="136" name="ZwSp_Skala1" dataDxfId="823"/>
    <tableColumn id="134" name="ZwSp_Höchst" dataDxfId="822"/>
    <tableColumn id="133" name="DrSp_Txt1" dataDxfId="821"/>
    <tableColumn id="132" name="DrSp_Txt2" dataDxfId="820"/>
    <tableColumn id="38" name="DrSp_Txt3" dataDxfId="819">
      <calculatedColumnFormula>IF(AuswDipl0[[#This Row],[DrSp_Höchst]]&lt;&gt;"",AuswDipl0[[#This Row],[DrSp_Höchst]],IF(AuswDipl0[[#This Row],[DrSp_Txt2]]=Stammdaten!$AY$27,AuswDipl0[[#This Row],[DrSp_Txt2]],""))</calculatedColumnFormula>
    </tableColumn>
    <tableColumn id="131" name="DrSp_Mass" dataDxfId="818"/>
    <tableColumn id="130" name="DrSp_Res1" dataDxfId="817"/>
    <tableColumn id="129" name="DrSp_Res2" dataDxfId="816"/>
    <tableColumn id="128" name="DrSp_Skala1" dataDxfId="815"/>
    <tableColumn id="126" name="DrSp_Höchst" dataDxfId="814"/>
    <tableColumn id="67" name="BS_1_Erg" dataDxfId="813"/>
    <tableColumn id="32" name="BS_1_Anz" dataDxfId="812"/>
    <tableColumn id="71" name="BS_1_Med" dataDxfId="811">
      <calculatedColumnFormula>IF(AND(NOT(ISERROR(VALUE(AuswDipl0[[#This Row],[BS_1_Erg]]))),VALUE(AuswDipl0[[#This Row],[BS_1_Erg]]))&gt;0,INDEX(INDIRECT(CM$4),MATCH(AuswDipl0[[#This Row],[BS_1_Erg]],INDIRECT(CM$3),0)),IF(AuswDipl0[[#This Row],[BS_1_Erg]]=Stammdaten!$AX$19,Stammdaten!$AX$19,""))</calculatedColumnFormula>
    </tableColumn>
    <tableColumn id="27" name="BS_1_Pos" dataDxfId="810"/>
    <tableColumn id="68" name="BS_2_Erg" dataDxfId="809"/>
    <tableColumn id="34" name="BS_2_AnzGer" dataDxfId="808"/>
    <tableColumn id="26" name="BS_2_Park" dataDxfId="807"/>
    <tableColumn id="33" name="BS_2_Erfüllt" dataDxfId="806"/>
    <tableColumn id="72" name="BS_2_Med" dataDxfId="805">
      <calculatedColumnFormula>IF(#REF!&gt;0,INDEX(INDIRECT(CS$4),MATCH(AuswDipl0[[#This Row],[BS_2_Erg]],INDIRECT(CS$3),0)),IF(AuswDipl0[[#This Row],[BS_2_Erg]]=Stammdaten!$AX$19,Stammdaten!$AX$19,""))</calculatedColumnFormula>
    </tableColumn>
    <tableColumn id="28" name="BS_2_Pos" dataDxfId="804"/>
    <tableColumn id="69" name="BS_3_Erg" dataDxfId="803"/>
    <tableColumn id="76" name="BS_3_x" dataDxfId="802">
      <calculatedColumnFormula>IF(AuswDipl0[[#This Row],[BS_3_Erg]]=INDEX(StdFehler[StdFehler],4),0,VALUE(AuswDipl0[[#This Row],[BS_3_Erg]]))</calculatedColumnFormula>
    </tableColumn>
    <tableColumn id="73" name="BS_3_Med" dataDxfId="801"/>
    <tableColumn id="29" name="BS_3_Pos" dataDxfId="800"/>
    <tableColumn id="70" name="BS_4_Erg" dataDxfId="799"/>
    <tableColumn id="35" name="BS_4_Anz" dataDxfId="798"/>
    <tableColumn id="74" name="BS_4_Med" dataDxfId="797">
      <calculatedColumnFormula>IF(#REF!&gt;0,INDEX(INDIRECT(DA$4),MATCH(AuswDipl0[[#This Row],[BS_4_Erg]],INDIRECT(DA$3),0)),IF(AuswDipl0[[#This Row],[BS_4_Erg]]=Stammdaten!$AX$19,Stammdaten!$AX$19,""))</calculatedColumnFormula>
    </tableColumn>
    <tableColumn id="30" name="BS_4_Pos" dataDxfId="796"/>
  </tableColumns>
  <tableStyleInfo name="TableStyleMedium7" showFirstColumn="0" showLastColumn="0" showRowStripes="1" showColumnStripes="0"/>
</table>
</file>

<file path=xl/tables/table113.xml><?xml version="1.0" encoding="utf-8"?>
<table xmlns="http://schemas.openxmlformats.org/spreadsheetml/2006/main" id="284" name="AuswDipl1" displayName="AuswDipl1" ref="E2:G54" totalsRowShown="0">
  <autoFilter ref="E2:G54"/>
  <tableColumns count="3">
    <tableColumn id="1" name="BS_1" dataDxfId="792"/>
    <tableColumn id="3" name="BS_11" dataDxfId="791">
      <calculatedColumnFormula>TEXT(AuswDipl1[[#This Row],[BS_1]],"#.0")</calculatedColumnFormula>
    </tableColumn>
    <tableColumn id="2" name="Medaille">
      <calculatedColumnFormula>INDEX(INDIRECT($G$1),MATCH(AuswDipl1[[#This Row],[BS_1]],INDIRECT($E$1),0))</calculatedColumnFormula>
    </tableColumn>
  </tableColumns>
  <tableStyleInfo name="TableStyleMedium7" showFirstColumn="0" showLastColumn="0" showRowStripes="1" showColumnStripes="0"/>
</table>
</file>

<file path=xl/tables/table114.xml><?xml version="1.0" encoding="utf-8"?>
<table xmlns="http://schemas.openxmlformats.org/spreadsheetml/2006/main" id="288" name="AuswDipl2" displayName="AuswDipl2" ref="I2:K54" totalsRowShown="0">
  <autoFilter ref="I2:K54"/>
  <tableColumns count="3">
    <tableColumn id="1" name="BS_2" dataDxfId="790"/>
    <tableColumn id="3" name="BS_21" dataDxfId="789">
      <calculatedColumnFormula>TEXT(AuswDipl2[[#This Row],[BS_2]],"#.0")</calculatedColumnFormula>
    </tableColumn>
    <tableColumn id="2" name="Medaille" dataDxfId="788">
      <calculatedColumnFormula>INDEX(INDIRECT($G$1),MATCH(AuswDipl2[[#This Row],[BS_2]],INDIRECT($E$1),0))</calculatedColumnFormula>
    </tableColumn>
  </tableColumns>
  <tableStyleInfo name="TableStyleMedium7" showFirstColumn="0" showLastColumn="0" showRowStripes="1" showColumnStripes="0"/>
</table>
</file>

<file path=xl/tables/table115.xml><?xml version="1.0" encoding="utf-8"?>
<table xmlns="http://schemas.openxmlformats.org/spreadsheetml/2006/main" id="292" name="AuswDipl3" displayName="AuswDipl3" ref="M2:N24" totalsRowShown="0">
  <autoFilter ref="M2:N24"/>
  <tableColumns count="2">
    <tableColumn id="1" name="BS_3" dataDxfId="787"/>
    <tableColumn id="2" name="Medaille"/>
  </tableColumns>
  <tableStyleInfo name="TableStyleMedium7" showFirstColumn="0" showLastColumn="0" showRowStripes="1" showColumnStripes="0"/>
</table>
</file>

<file path=xl/tables/table116.xml><?xml version="1.0" encoding="utf-8"?>
<table xmlns="http://schemas.openxmlformats.org/spreadsheetml/2006/main" id="296" name="AuswDipl4" displayName="AuswDipl4" ref="P2:R54" totalsRowShown="0">
  <autoFilter ref="P2:R54"/>
  <tableColumns count="3">
    <tableColumn id="1" name="BS_4" dataDxfId="786"/>
    <tableColumn id="3" name="BS_41" dataDxfId="785">
      <calculatedColumnFormula>TEXT(AuswDipl4[[#This Row],[BS_4]],"#.0")</calculatedColumnFormula>
    </tableColumn>
    <tableColumn id="2" name="Medaille" dataDxfId="784">
      <calculatedColumnFormula>INDEX(INDIRECT($G$1),MATCH(AuswDipl4[[#This Row],[BS_4]],INDIRECT($E$1),0))</calculatedColumnFormula>
    </tableColumn>
  </tableColumns>
  <tableStyleInfo name="TableStyleMedium7" showFirstColumn="0" showLastColumn="0" showRowStripes="1" showColumnStripes="0"/>
</table>
</file>

<file path=xl/tables/table117.xml><?xml version="1.0" encoding="utf-8"?>
<table xmlns="http://schemas.openxmlformats.org/spreadsheetml/2006/main" id="287" name="AuswDipl124" displayName="AuswDipl124" ref="B2:C504" totalsRowShown="0" tableBorderDxfId="783">
  <autoFilter ref="B2:C504"/>
  <tableColumns count="2">
    <tableColumn id="1" name="BS_124" dataDxfId="782"/>
    <tableColumn id="2" name="Medaille"/>
  </tableColumns>
  <tableStyleInfo name="TableStyleMedium7" showFirstColumn="0" showLastColumn="0" showRowStripes="1" showColumnStripes="0"/>
</table>
</file>

<file path=xl/tables/table118.xml><?xml version="1.0" encoding="utf-8"?>
<table xmlns="http://schemas.openxmlformats.org/spreadsheetml/2006/main" id="38" name="Ballwurf_K1" displayName="Ballwurf_K1" ref="AK3:AL54" totalsRowShown="0" headerRowDxfId="781" dataDxfId="780">
  <autoFilter ref="AK3:AL54"/>
  <sortState ref="AK4:AL55">
    <sortCondition ref="AK4:AK55"/>
  </sortState>
  <tableColumns count="2">
    <tableColumn id="1" name="Resultat" dataDxfId="779"/>
    <tableColumn id="2" name="Note" dataDxfId="778"/>
  </tableColumns>
  <tableStyleInfo name="TableStyleMedium2" showFirstColumn="0" showLastColumn="0" showRowStripes="1" showColumnStripes="0"/>
</table>
</file>

<file path=xl/tables/table119.xml><?xml version="1.0" encoding="utf-8"?>
<table xmlns="http://schemas.openxmlformats.org/spreadsheetml/2006/main" id="39" name="Ballwurf_M1" displayName="Ballwurf_M1" ref="AN3:AO54" totalsRowShown="0" headerRowDxfId="777" dataDxfId="776">
  <autoFilter ref="AN3:AO54"/>
  <sortState ref="AN4:AO55">
    <sortCondition ref="AN4:AN55"/>
  </sortState>
  <tableColumns count="2">
    <tableColumn id="1" name="Resultat" dataDxfId="775"/>
    <tableColumn id="2" name="Note" dataDxfId="774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141" name="ZwölfMinLaufHalleSkalawert" displayName="ZwölfMinLaufHalleSkalawert" ref="AF18:AF48" totalsRowShown="0" headerRowDxfId="310" dataDxfId="309">
  <autoFilter ref="AF18:AF48"/>
  <tableColumns count="1">
    <tableColumn id="1" name="Skala-Wert" dataDxfId="311">
      <calculatedColumnFormula>IF(AE19="","",IF(OR(ZwölfMinLaufHalleResultat[[#This Row],[Resultat]]=Stammdaten!$AX$22,ZwölfMinLaufHalleResultat[[#This Row],[Resultat]]=Stammdaten!$AX$19),Stammdaten!$AX$19,IF(ISNA(INDEX(INDIRECT(AE19),MATCH(ZwölfMinLaufHalleGerundet[[#This Row],[Rundung]],INDIRECT(AE19),AE$18))),IF(AE$18=-1,LARGE(INDIRECT(AE19),1),SMALL(INDIRECT(AE19),1)),INDEX(INDIRECT(AE19),MATCH(ZwölfMinLaufHalleGerundet[[#This Row],[Rundung]],INDIRECT(AE19),AE$18)))))</calculatedColumnFormula>
    </tableColumn>
  </tableColumns>
  <tableStyleInfo name="TableStyleMedium4" showFirstColumn="0" showLastColumn="0" showRowStripes="1" showColumnStripes="0"/>
</table>
</file>

<file path=xl/tables/table120.xml><?xml version="1.0" encoding="utf-8"?>
<table xmlns="http://schemas.openxmlformats.org/spreadsheetml/2006/main" id="40" name="Kugelstossen_K1" displayName="Kugelstossen_K1" ref="AQ3:AR54" totalsRowShown="0" headerRowDxfId="773" dataDxfId="772">
  <autoFilter ref="AQ3:AR54"/>
  <sortState ref="AQ4:AR55">
    <sortCondition ref="AQ4:AQ55"/>
  </sortState>
  <tableColumns count="2">
    <tableColumn id="1" name="Resultat" dataDxfId="771"/>
    <tableColumn id="2" name="Note" dataDxfId="770"/>
  </tableColumns>
  <tableStyleInfo name="TableStyleMedium2" showFirstColumn="0" showLastColumn="0" showRowStripes="1" showColumnStripes="0"/>
</table>
</file>

<file path=xl/tables/table121.xml><?xml version="1.0" encoding="utf-8"?>
<table xmlns="http://schemas.openxmlformats.org/spreadsheetml/2006/main" id="41" name="Kugelstossen_M1" displayName="Kugelstossen_M1" ref="AT3:AU54" totalsRowShown="0" headerRowDxfId="769" dataDxfId="768">
  <autoFilter ref="AT3:AU54"/>
  <sortState ref="AT4:AU55">
    <sortCondition ref="AT4:AT55"/>
  </sortState>
  <tableColumns count="2">
    <tableColumn id="1" name="Resultat" dataDxfId="767"/>
    <tableColumn id="2" name="Note" dataDxfId="766"/>
  </tableColumns>
  <tableStyleInfo name="TableStyleMedium5" showFirstColumn="0" showLastColumn="0" showRowStripes="1" showColumnStripes="0"/>
</table>
</file>

<file path=xl/tables/table122.xml><?xml version="1.0" encoding="utf-8"?>
<table xmlns="http://schemas.openxmlformats.org/spreadsheetml/2006/main" id="42" name="Speerwurf_K1" displayName="Speerwurf_K1" ref="AW3:AX54" totalsRowShown="0" headerRowDxfId="765" dataDxfId="764">
  <autoFilter ref="AW3:AX54"/>
  <sortState ref="AW4:AX55">
    <sortCondition ref="AW4:AW55"/>
  </sortState>
  <tableColumns count="2">
    <tableColumn id="1" name="Resultat" dataDxfId="763"/>
    <tableColumn id="2" name="Note" dataDxfId="762"/>
  </tableColumns>
  <tableStyleInfo name="TableStyleMedium2" showFirstColumn="0" showLastColumn="0" showRowStripes="1" showColumnStripes="0"/>
</table>
</file>

<file path=xl/tables/table123.xml><?xml version="1.0" encoding="utf-8"?>
<table xmlns="http://schemas.openxmlformats.org/spreadsheetml/2006/main" id="43" name="Speerwurf_M1" displayName="Speerwurf_M1" ref="AZ3:BA54" totalsRowShown="0" headerRowDxfId="761" dataDxfId="760">
  <autoFilter ref="AZ3:BA54"/>
  <sortState ref="AZ4:BA55">
    <sortCondition ref="AZ4:AZ55"/>
  </sortState>
  <tableColumns count="2">
    <tableColumn id="1" name="Resultat" dataDxfId="759"/>
    <tableColumn id="2" name="Note" dataDxfId="758"/>
  </tableColumns>
  <tableStyleInfo name="TableStyleMedium5" showFirstColumn="0" showLastColumn="0" showRowStripes="1" showColumnStripes="0"/>
</table>
</file>

<file path=xl/tables/table124.xml><?xml version="1.0" encoding="utf-8"?>
<table xmlns="http://schemas.openxmlformats.org/spreadsheetml/2006/main" id="44" name="Hochsprung_K1" displayName="Hochsprung_K1" ref="Y3:Z54" totalsRowShown="0" headerRowDxfId="757" dataDxfId="756">
  <autoFilter ref="Y3:Z54"/>
  <sortState ref="Y4:Z55">
    <sortCondition ref="Y4:Y55"/>
  </sortState>
  <tableColumns count="2">
    <tableColumn id="1" name="Resultat" dataDxfId="755"/>
    <tableColumn id="2" name="Note" dataDxfId="754"/>
  </tableColumns>
  <tableStyleInfo name="TableStyleMedium2" showFirstColumn="0" showLastColumn="0" showRowStripes="1" showColumnStripes="0"/>
</table>
</file>

<file path=xl/tables/table125.xml><?xml version="1.0" encoding="utf-8"?>
<table xmlns="http://schemas.openxmlformats.org/spreadsheetml/2006/main" id="45" name="Hochsprung_M1" displayName="Hochsprung_M1" ref="AB3:AC54" totalsRowShown="0" headerRowDxfId="753" dataDxfId="752">
  <autoFilter ref="AB3:AC54"/>
  <sortState ref="AB4:AC55">
    <sortCondition ref="AB4:AB55"/>
  </sortState>
  <tableColumns count="2">
    <tableColumn id="1" name="Resultat" dataDxfId="751"/>
    <tableColumn id="2" name="Note" dataDxfId="750"/>
  </tableColumns>
  <tableStyleInfo name="TableStyleMedium5" showFirstColumn="0" showLastColumn="0" showRowStripes="1" showColumnStripes="0"/>
</table>
</file>

<file path=xl/tables/table126.xml><?xml version="1.0" encoding="utf-8"?>
<table xmlns="http://schemas.openxmlformats.org/spreadsheetml/2006/main" id="46" name="Weitsprung_K1" displayName="Weitsprung_K1" ref="AE3:AF54" totalsRowShown="0" headerRowDxfId="749" dataDxfId="748">
  <autoFilter ref="AE3:AF54"/>
  <sortState ref="AE4:AF55">
    <sortCondition ref="AE4:AE55"/>
  </sortState>
  <tableColumns count="2">
    <tableColumn id="1" name="Resultat" dataDxfId="747"/>
    <tableColumn id="2" name="Note" dataDxfId="746"/>
  </tableColumns>
  <tableStyleInfo name="TableStyleMedium2" showFirstColumn="0" showLastColumn="0" showRowStripes="1" showColumnStripes="0"/>
</table>
</file>

<file path=xl/tables/table127.xml><?xml version="1.0" encoding="utf-8"?>
<table xmlns="http://schemas.openxmlformats.org/spreadsheetml/2006/main" id="47" name="Weitsprung_M1" displayName="Weitsprung_M1" ref="AH3:AI54" totalsRowShown="0" headerRowDxfId="745" dataDxfId="744">
  <autoFilter ref="AH3:AI54"/>
  <sortState ref="AH4:AI55">
    <sortCondition ref="AH4:AH55"/>
  </sortState>
  <tableColumns count="2">
    <tableColumn id="1" name="Resultat" dataDxfId="743"/>
    <tableColumn id="2" name="Note" dataDxfId="742"/>
  </tableColumns>
  <tableStyleInfo name="TableStyleMedium5" showFirstColumn="0" showLastColumn="0" showRowStripes="1" showColumnStripes="0"/>
</table>
</file>

<file path=xl/tables/table128.xml><?xml version="1.0" encoding="utf-8"?>
<table xmlns="http://schemas.openxmlformats.org/spreadsheetml/2006/main" id="48" name="SechzigmLauf_K1" displayName="SechzigmLauf_K1" ref="A3:B54" totalsRowShown="0" headerRowDxfId="741" dataDxfId="740">
  <autoFilter ref="A3:B54"/>
  <sortState ref="A4:B55">
    <sortCondition descending="1" ref="A4"/>
  </sortState>
  <tableColumns count="2">
    <tableColumn id="1" name="Resultat" dataDxfId="739"/>
    <tableColumn id="2" name="Note" dataDxfId="738"/>
  </tableColumns>
  <tableStyleInfo name="TableStyleMedium2" showFirstColumn="0" showLastColumn="0" showRowStripes="1" showColumnStripes="0"/>
</table>
</file>

<file path=xl/tables/table129.xml><?xml version="1.0" encoding="utf-8"?>
<table xmlns="http://schemas.openxmlformats.org/spreadsheetml/2006/main" id="49" name="SechzigmLauf_M1" displayName="SechzigmLauf_M1" ref="D3:E54" totalsRowShown="0" headerRowDxfId="737" dataDxfId="736">
  <autoFilter ref="D3:E54"/>
  <sortState ref="D4:E55">
    <sortCondition descending="1" ref="D4:D55"/>
  </sortState>
  <tableColumns count="2">
    <tableColumn id="1" name="Resultat" dataDxfId="735"/>
    <tableColumn id="2" name="Note" dataDxfId="734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142" name="ZwölfMinLaufimFreienResultat" displayName="ZwölfMinLaufimFreienResultat" ref="AK18:AK48" totalsRowShown="0" headerRowDxfId="308" dataDxfId="36">
  <autoFilter ref="AK18:AK48"/>
  <tableColumns count="1">
    <tableColumn id="1" name="Resultat" dataDxfId="37"/>
  </tableColumns>
  <tableStyleInfo name="TableStyleMedium2" showFirstColumn="0" showLastColumn="0" showRowStripes="1" showColumnStripes="0"/>
</table>
</file>

<file path=xl/tables/table130.xml><?xml version="1.0" encoding="utf-8"?>
<table xmlns="http://schemas.openxmlformats.org/spreadsheetml/2006/main" id="50" name="AchtzigmLauf_K1" displayName="AchtzigmLauf_K1" ref="G3:H54" totalsRowShown="0" headerRowDxfId="733" dataDxfId="732">
  <autoFilter ref="G3:H54"/>
  <sortState ref="G4:H55">
    <sortCondition descending="1" ref="G4:G55"/>
  </sortState>
  <tableColumns count="2">
    <tableColumn id="1" name="Resultat" dataDxfId="731"/>
    <tableColumn id="2" name="Note" dataDxfId="730"/>
  </tableColumns>
  <tableStyleInfo name="TableStyleMedium2" showFirstColumn="0" showLastColumn="0" showRowStripes="1" showColumnStripes="0"/>
</table>
</file>

<file path=xl/tables/table131.xml><?xml version="1.0" encoding="utf-8"?>
<table xmlns="http://schemas.openxmlformats.org/spreadsheetml/2006/main" id="51" name="AchtzigmLauf_M1" displayName="AchtzigmLauf_M1" ref="J3:K54" totalsRowShown="0" headerRowDxfId="729" dataDxfId="728">
  <autoFilter ref="J3:K54"/>
  <sortState ref="J4:K55">
    <sortCondition descending="1" ref="J4:J55"/>
  </sortState>
  <tableColumns count="2">
    <tableColumn id="1" name="Resultat" dataDxfId="727"/>
    <tableColumn id="2" name="Note" dataDxfId="726"/>
  </tableColumns>
  <tableStyleInfo name="TableStyleMedium5" showFirstColumn="0" showLastColumn="0" showRowStripes="1" showColumnStripes="0"/>
</table>
</file>

<file path=xl/tables/table132.xml><?xml version="1.0" encoding="utf-8"?>
<table xmlns="http://schemas.openxmlformats.org/spreadsheetml/2006/main" id="52" name="ZwölfMinLaufHalle_K1" displayName="ZwölfMinLaufHalle_K1" ref="M3:N34" totalsRowShown="0" headerRowDxfId="725" dataDxfId="724">
  <autoFilter ref="M3:N34"/>
  <sortState ref="M4:N34">
    <sortCondition descending="1" ref="M4"/>
  </sortState>
  <tableColumns count="2">
    <tableColumn id="1" name="Resultat" dataDxfId="723"/>
    <tableColumn id="2" name="Note" dataDxfId="722"/>
  </tableColumns>
  <tableStyleInfo name="TableStyleMedium2" showFirstColumn="0" showLastColumn="0" showRowStripes="1" showColumnStripes="0"/>
</table>
</file>

<file path=xl/tables/table133.xml><?xml version="1.0" encoding="utf-8"?>
<table xmlns="http://schemas.openxmlformats.org/spreadsheetml/2006/main" id="53" name="ZwölfMinLaufHalle_M1" displayName="ZwölfMinLaufHalle_M1" ref="P3:Q32" totalsRowShown="0" headerRowDxfId="721" dataDxfId="720">
  <autoFilter ref="P3:Q32"/>
  <sortState ref="P4:Q32">
    <sortCondition descending="1" ref="P4"/>
  </sortState>
  <tableColumns count="2">
    <tableColumn id="1" name="Resultat" dataDxfId="719"/>
    <tableColumn id="2" name="Note" dataDxfId="718"/>
  </tableColumns>
  <tableStyleInfo name="TableStyleMedium5" showFirstColumn="0" showLastColumn="0" showRowStripes="1" showColumnStripes="0"/>
</table>
</file>

<file path=xl/tables/table134.xml><?xml version="1.0" encoding="utf-8"?>
<table xmlns="http://schemas.openxmlformats.org/spreadsheetml/2006/main" id="54" name="ZwölfMinLaufimFreien_K1" displayName="ZwölfMinLaufimFreien_K1" ref="S3:T54" totalsRowShown="0" headerRowDxfId="717" dataDxfId="716">
  <autoFilter ref="S3:T54"/>
  <sortState ref="S4:T55">
    <sortCondition ref="S4:S55"/>
  </sortState>
  <tableColumns count="2">
    <tableColumn id="1" name="Resultat" dataDxfId="715"/>
    <tableColumn id="2" name="Note" dataDxfId="714"/>
  </tableColumns>
  <tableStyleInfo name="TableStyleMedium2" showFirstColumn="0" showLastColumn="0" showRowStripes="1" showColumnStripes="0"/>
</table>
</file>

<file path=xl/tables/table135.xml><?xml version="1.0" encoding="utf-8"?>
<table xmlns="http://schemas.openxmlformats.org/spreadsheetml/2006/main" id="55" name="ZwölfMinLaufimFreien_M1" displayName="ZwölfMinLaufimFreien_M1" ref="V3:W54" totalsRowShown="0" headerRowDxfId="713" dataDxfId="712">
  <autoFilter ref="V3:W54"/>
  <sortState ref="V4:W55">
    <sortCondition ref="V4:V55"/>
  </sortState>
  <tableColumns count="2">
    <tableColumn id="1" name="Resultat" dataDxfId="711"/>
    <tableColumn id="2" name="Note" dataDxfId="710"/>
  </tableColumns>
  <tableStyleInfo name="TableStyleMedium5" showFirstColumn="0" showLastColumn="0" showRowStripes="1" showColumnStripes="0"/>
</table>
</file>

<file path=xl/tables/table136.xml><?xml version="1.0" encoding="utf-8"?>
<table xmlns="http://schemas.openxmlformats.org/spreadsheetml/2006/main" id="94" name="Ballwurf_K2" displayName="Ballwurf_K2" ref="AK3:AL54" totalsRowShown="0" headerRowDxfId="709" dataDxfId="708">
  <autoFilter ref="AK3:AL54"/>
  <sortState ref="AK4:AL55">
    <sortCondition ref="AK4:AK55"/>
  </sortState>
  <tableColumns count="2">
    <tableColumn id="1" name="Resultat" dataDxfId="707"/>
    <tableColumn id="2" name="Note" dataDxfId="706"/>
  </tableColumns>
  <tableStyleInfo name="TableStyleMedium2" showFirstColumn="0" showLastColumn="0" showRowStripes="1" showColumnStripes="0"/>
</table>
</file>

<file path=xl/tables/table137.xml><?xml version="1.0" encoding="utf-8"?>
<table xmlns="http://schemas.openxmlformats.org/spreadsheetml/2006/main" id="95" name="Ballwurf_M2" displayName="Ballwurf_M2" ref="AN3:AO54" totalsRowShown="0" headerRowDxfId="705" dataDxfId="704">
  <autoFilter ref="AN3:AO54"/>
  <sortState ref="AN4:AO55">
    <sortCondition ref="AN4:AN55"/>
  </sortState>
  <tableColumns count="2">
    <tableColumn id="1" name="Resultat" dataDxfId="703"/>
    <tableColumn id="2" name="Note" dataDxfId="702"/>
  </tableColumns>
  <tableStyleInfo name="TableStyleMedium5" showFirstColumn="0" showLastColumn="0" showRowStripes="1" showColumnStripes="0"/>
</table>
</file>

<file path=xl/tables/table138.xml><?xml version="1.0" encoding="utf-8"?>
<table xmlns="http://schemas.openxmlformats.org/spreadsheetml/2006/main" id="96" name="Kugelstossen_K2" displayName="Kugelstossen_K2" ref="AQ3:AR54" totalsRowShown="0" headerRowDxfId="701" dataDxfId="700">
  <autoFilter ref="AQ3:AR54"/>
  <sortState ref="AQ4:AR55">
    <sortCondition ref="AQ4:AQ55"/>
  </sortState>
  <tableColumns count="2">
    <tableColumn id="1" name="Resultat" dataDxfId="699"/>
    <tableColumn id="2" name="Note" dataDxfId="698"/>
  </tableColumns>
  <tableStyleInfo name="TableStyleMedium2" showFirstColumn="0" showLastColumn="0" showRowStripes="1" showColumnStripes="0"/>
</table>
</file>

<file path=xl/tables/table139.xml><?xml version="1.0" encoding="utf-8"?>
<table xmlns="http://schemas.openxmlformats.org/spreadsheetml/2006/main" id="97" name="Kugelstossen_M2" displayName="Kugelstossen_M2" ref="AT3:AU54" totalsRowShown="0" headerRowDxfId="697" dataDxfId="696">
  <autoFilter ref="AT3:AU54"/>
  <sortState ref="AT4:AU55">
    <sortCondition ref="AT4:AT55"/>
  </sortState>
  <tableColumns count="2">
    <tableColumn id="1" name="Resultat" dataDxfId="695"/>
    <tableColumn id="2" name="Note" dataDxfId="694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143" name="ZwölfMinLaufimFreienNote" displayName="ZwölfMinLaufimFreienNote" ref="AS18:AS48" totalsRowShown="0" headerRowDxfId="306" dataDxfId="305">
  <autoFilter ref="AS18:AS48"/>
  <tableColumns count="1">
    <tableColumn id="1" name="Note" dataDxfId="307">
      <calculatedColumnFormula>IF(OR(AR19="",ZwölfMinLaufimFreienSkalawert[[#This Row],[Skala-Wert]]=Stammdaten!$AX$19),"",INDEX(INDIRECT(AR19),MATCH(ZwölfMinLaufimFreienSkalawert[[#This Row],[Skala-Wert]],INDIRECT(AO19),0)))</calculatedColumnFormula>
    </tableColumn>
  </tableColumns>
  <tableStyleInfo name="TableStyleMedium4" showFirstColumn="0" showLastColumn="0" showRowStripes="1" showColumnStripes="0"/>
</table>
</file>

<file path=xl/tables/table140.xml><?xml version="1.0" encoding="utf-8"?>
<table xmlns="http://schemas.openxmlformats.org/spreadsheetml/2006/main" id="98" name="Speerwurf_K2" displayName="Speerwurf_K2" ref="AW3:AX54" totalsRowShown="0" headerRowDxfId="693" dataDxfId="692">
  <autoFilter ref="AW3:AX54"/>
  <sortState ref="AW4:AX55">
    <sortCondition ref="AW4:AW55"/>
  </sortState>
  <tableColumns count="2">
    <tableColumn id="1" name="Resultat" dataDxfId="691"/>
    <tableColumn id="2" name="Note" dataDxfId="690"/>
  </tableColumns>
  <tableStyleInfo name="TableStyleMedium2" showFirstColumn="0" showLastColumn="0" showRowStripes="1" showColumnStripes="0"/>
</table>
</file>

<file path=xl/tables/table141.xml><?xml version="1.0" encoding="utf-8"?>
<table xmlns="http://schemas.openxmlformats.org/spreadsheetml/2006/main" id="99" name="Speerwurf_M2" displayName="Speerwurf_M2" ref="AZ3:BA54" totalsRowShown="0" headerRowDxfId="689" dataDxfId="688">
  <autoFilter ref="AZ3:BA54"/>
  <sortState ref="AZ4:BA55">
    <sortCondition ref="AZ4:AZ55"/>
  </sortState>
  <tableColumns count="2">
    <tableColumn id="1" name="Resultat" dataDxfId="687"/>
    <tableColumn id="2" name="Note" dataDxfId="686"/>
  </tableColumns>
  <tableStyleInfo name="TableStyleMedium5" showFirstColumn="0" showLastColumn="0" showRowStripes="1" showColumnStripes="0"/>
</table>
</file>

<file path=xl/tables/table142.xml><?xml version="1.0" encoding="utf-8"?>
<table xmlns="http://schemas.openxmlformats.org/spreadsheetml/2006/main" id="100" name="Hochsprung_K2" displayName="Hochsprung_K2" ref="Y3:Z54" totalsRowShown="0" headerRowDxfId="685" dataDxfId="684">
  <autoFilter ref="Y3:Z54"/>
  <sortState ref="Y4:Z55">
    <sortCondition ref="Y4:Y55"/>
  </sortState>
  <tableColumns count="2">
    <tableColumn id="1" name="Resultat" dataDxfId="683"/>
    <tableColumn id="2" name="Note" dataDxfId="682"/>
  </tableColumns>
  <tableStyleInfo name="TableStyleMedium2" showFirstColumn="0" showLastColumn="0" showRowStripes="1" showColumnStripes="0"/>
</table>
</file>

<file path=xl/tables/table143.xml><?xml version="1.0" encoding="utf-8"?>
<table xmlns="http://schemas.openxmlformats.org/spreadsheetml/2006/main" id="101" name="Hochsprung_M2" displayName="Hochsprung_M2" ref="AB3:AC54" totalsRowShown="0" headerRowDxfId="681" dataDxfId="680">
  <autoFilter ref="AB3:AC54"/>
  <sortState ref="AB4:AC55">
    <sortCondition ref="AB4:AB55"/>
  </sortState>
  <tableColumns count="2">
    <tableColumn id="1" name="Resultat" dataDxfId="679"/>
    <tableColumn id="2" name="Note" dataDxfId="678"/>
  </tableColumns>
  <tableStyleInfo name="TableStyleMedium5" showFirstColumn="0" showLastColumn="0" showRowStripes="1" showColumnStripes="0"/>
</table>
</file>

<file path=xl/tables/table144.xml><?xml version="1.0" encoding="utf-8"?>
<table xmlns="http://schemas.openxmlformats.org/spreadsheetml/2006/main" id="102" name="Weitsprung_K2" displayName="Weitsprung_K2" ref="AE3:AF54" totalsRowShown="0" headerRowDxfId="677" dataDxfId="676">
  <autoFilter ref="AE3:AF54"/>
  <sortState ref="AE4:AF55">
    <sortCondition ref="AE4:AE55"/>
  </sortState>
  <tableColumns count="2">
    <tableColumn id="1" name="Resultat" dataDxfId="675"/>
    <tableColumn id="2" name="Note" dataDxfId="674"/>
  </tableColumns>
  <tableStyleInfo name="TableStyleMedium2" showFirstColumn="0" showLastColumn="0" showRowStripes="1" showColumnStripes="0"/>
</table>
</file>

<file path=xl/tables/table145.xml><?xml version="1.0" encoding="utf-8"?>
<table xmlns="http://schemas.openxmlformats.org/spreadsheetml/2006/main" id="103" name="Weitsprung_M2" displayName="Weitsprung_M2" ref="AH3:AI54" totalsRowShown="0" headerRowDxfId="673" dataDxfId="672">
  <autoFilter ref="AH3:AI54"/>
  <sortState ref="AH4:AI55">
    <sortCondition ref="AH4:AH55"/>
  </sortState>
  <tableColumns count="2">
    <tableColumn id="1" name="Resultat" dataDxfId="671"/>
    <tableColumn id="2" name="Note" dataDxfId="670"/>
  </tableColumns>
  <tableStyleInfo name="TableStyleMedium5" showFirstColumn="0" showLastColumn="0" showRowStripes="1" showColumnStripes="0"/>
</table>
</file>

<file path=xl/tables/table146.xml><?xml version="1.0" encoding="utf-8"?>
<table xmlns="http://schemas.openxmlformats.org/spreadsheetml/2006/main" id="104" name="SechzigmLauf_K2" displayName="SechzigmLauf_K2" ref="A3:B54" totalsRowShown="0" headerRowDxfId="669" dataDxfId="668">
  <autoFilter ref="A3:B54"/>
  <sortState ref="A4:B55">
    <sortCondition descending="1" ref="A4:A55"/>
  </sortState>
  <tableColumns count="2">
    <tableColumn id="1" name="Resultat" dataDxfId="667"/>
    <tableColumn id="2" name="Note" dataDxfId="666"/>
  </tableColumns>
  <tableStyleInfo name="TableStyleMedium2" showFirstColumn="0" showLastColumn="0" showRowStripes="1" showColumnStripes="0"/>
</table>
</file>

<file path=xl/tables/table147.xml><?xml version="1.0" encoding="utf-8"?>
<table xmlns="http://schemas.openxmlformats.org/spreadsheetml/2006/main" id="105" name="SechzigmLauf_M2" displayName="SechzigmLauf_M2" ref="D3:E54" totalsRowShown="0" headerRowDxfId="665" dataDxfId="664">
  <autoFilter ref="D3:E54"/>
  <sortState ref="D4:E55">
    <sortCondition descending="1" ref="D4:D55"/>
  </sortState>
  <tableColumns count="2">
    <tableColumn id="1" name="Resultat" dataDxfId="663"/>
    <tableColumn id="2" name="Note" dataDxfId="662"/>
  </tableColumns>
  <tableStyleInfo name="TableStyleMedium5" showFirstColumn="0" showLastColumn="0" showRowStripes="1" showColumnStripes="0"/>
</table>
</file>

<file path=xl/tables/table148.xml><?xml version="1.0" encoding="utf-8"?>
<table xmlns="http://schemas.openxmlformats.org/spreadsheetml/2006/main" id="106" name="AchtzigmLauf_K2" displayName="AchtzigmLauf_K2" ref="G3:H54" totalsRowShown="0" headerRowDxfId="661" dataDxfId="660">
  <autoFilter ref="G3:H54"/>
  <sortState ref="G4:H55">
    <sortCondition descending="1" ref="G4:G55"/>
  </sortState>
  <tableColumns count="2">
    <tableColumn id="1" name="Resultat" dataDxfId="659"/>
    <tableColumn id="2" name="Note" dataDxfId="658"/>
  </tableColumns>
  <tableStyleInfo name="TableStyleMedium2" showFirstColumn="0" showLastColumn="0" showRowStripes="1" showColumnStripes="0"/>
</table>
</file>

<file path=xl/tables/table149.xml><?xml version="1.0" encoding="utf-8"?>
<table xmlns="http://schemas.openxmlformats.org/spreadsheetml/2006/main" id="107" name="AchtzigmLauf_M2" displayName="AchtzigmLauf_M2" ref="J3:K54" totalsRowShown="0" headerRowDxfId="657" dataDxfId="656">
  <autoFilter ref="J3:K54"/>
  <sortState ref="J4:K55">
    <sortCondition descending="1" ref="J4:J55"/>
  </sortState>
  <tableColumns count="2">
    <tableColumn id="1" name="Resultat" dataDxfId="655"/>
    <tableColumn id="2" name="Note" dataDxfId="654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144" name="ZwölfMinLaufimFreienSkalawert" displayName="ZwölfMinLaufimFreienSkalawert" ref="AP18:AP48" totalsRowShown="0" headerRowDxfId="303" dataDxfId="302">
  <autoFilter ref="AP18:AP48"/>
  <tableColumns count="1">
    <tableColumn id="1" name="Skala-Wert" dataDxfId="304">
      <calculatedColumnFormula>IF(AO19="","",IF(OR(ZwölfMinLaufimFreienResultat[[#This Row],[Resultat]]=Stammdaten!$AX$22,ZwölfMinLaufimFreienResultat[[#This Row],[Resultat]]=Stammdaten!$AX$19),Stammdaten!$AX$19,IF(ISNA(INDEX(INDIRECT(AO19),MATCH(ZwölfMinLaufimFreienGerundet[[#This Row],[Rundung]],INDIRECT(AO19),AO$18))),IF(AO$18=-1,LARGE(INDIRECT(AO19),1),SMALL(INDIRECT(AO19),1)),INDEX(INDIRECT(AO19),MATCH(ZwölfMinLaufimFreienGerundet[[#This Row],[Rundung]],INDIRECT(AO19),AO$18)))))</calculatedColumnFormula>
    </tableColumn>
  </tableColumns>
  <tableStyleInfo name="TableStyleMedium4" showFirstColumn="0" showLastColumn="0" showRowStripes="1" showColumnStripes="0"/>
</table>
</file>

<file path=xl/tables/table150.xml><?xml version="1.0" encoding="utf-8"?>
<table xmlns="http://schemas.openxmlformats.org/spreadsheetml/2006/main" id="108" name="ZwölfMinLaufHalle_K2" displayName="ZwölfMinLaufHalle_K2" ref="M3:N34" totalsRowShown="0" headerRowDxfId="653" dataDxfId="652">
  <autoFilter ref="M3:N34"/>
  <sortState ref="M4:N34">
    <sortCondition descending="1" ref="M4"/>
  </sortState>
  <tableColumns count="2">
    <tableColumn id="1" name="Resultat" dataDxfId="651"/>
    <tableColumn id="2" name="Note" dataDxfId="650"/>
  </tableColumns>
  <tableStyleInfo name="TableStyleMedium2" showFirstColumn="0" showLastColumn="0" showRowStripes="1" showColumnStripes="0"/>
</table>
</file>

<file path=xl/tables/table151.xml><?xml version="1.0" encoding="utf-8"?>
<table xmlns="http://schemas.openxmlformats.org/spreadsheetml/2006/main" id="109" name="ZwölfMinLaufHalle_M2" displayName="ZwölfMinLaufHalle_M2" ref="P3:Q32" totalsRowShown="0" headerRowDxfId="649" dataDxfId="648">
  <autoFilter ref="P3:Q32"/>
  <sortState ref="P4:Q32">
    <sortCondition descending="1" ref="P4"/>
  </sortState>
  <tableColumns count="2">
    <tableColumn id="1" name="Resultat" dataDxfId="647"/>
    <tableColumn id="2" name="Note" dataDxfId="646"/>
  </tableColumns>
  <tableStyleInfo name="TableStyleMedium5" showFirstColumn="0" showLastColumn="0" showRowStripes="1" showColumnStripes="0"/>
</table>
</file>

<file path=xl/tables/table152.xml><?xml version="1.0" encoding="utf-8"?>
<table xmlns="http://schemas.openxmlformats.org/spreadsheetml/2006/main" id="110" name="ZwölfMinLaufimFreien_K2" displayName="ZwölfMinLaufimFreien_K2" ref="S3:T54" totalsRowShown="0" headerRowDxfId="645" dataDxfId="644">
  <autoFilter ref="S3:T54"/>
  <sortState ref="S4:T55">
    <sortCondition ref="S4:S55"/>
  </sortState>
  <tableColumns count="2">
    <tableColumn id="1" name="Resultat" dataDxfId="643"/>
    <tableColumn id="2" name="Note" dataDxfId="642"/>
  </tableColumns>
  <tableStyleInfo name="TableStyleMedium2" showFirstColumn="0" showLastColumn="0" showRowStripes="1" showColumnStripes="0"/>
</table>
</file>

<file path=xl/tables/table153.xml><?xml version="1.0" encoding="utf-8"?>
<table xmlns="http://schemas.openxmlformats.org/spreadsheetml/2006/main" id="111" name="ZwölfMinLaufimFreien_M2" displayName="ZwölfMinLaufimFreien_M2" ref="V3:W54" totalsRowShown="0" headerRowDxfId="641" dataDxfId="640">
  <autoFilter ref="V3:W54"/>
  <sortState ref="V4:W55">
    <sortCondition ref="V4:V55"/>
  </sortState>
  <tableColumns count="2">
    <tableColumn id="1" name="Resultat" dataDxfId="639"/>
    <tableColumn id="2" name="Note" dataDxfId="638"/>
  </tableColumns>
  <tableStyleInfo name="TableStyleMedium5" showFirstColumn="0" showLastColumn="0" showRowStripes="1" showColumnStripes="0"/>
</table>
</file>

<file path=xl/tables/table154.xml><?xml version="1.0" encoding="utf-8"?>
<table xmlns="http://schemas.openxmlformats.org/spreadsheetml/2006/main" id="28" name="Geräteturnen_K1" displayName="Geräteturnen_K1" ref="A3:B24" totalsRowShown="0" headerRowDxfId="633" dataDxfId="632">
  <autoFilter ref="A3:B24"/>
  <sortState ref="A4:B25">
    <sortCondition ref="A4:A25"/>
  </sortState>
  <tableColumns count="2">
    <tableColumn id="1" name="Resultat" dataDxfId="631"/>
    <tableColumn id="2" name="Note" dataDxfId="630"/>
  </tableColumns>
  <tableStyleInfo name="TableStyleMedium2" showFirstColumn="0" showLastColumn="0" showRowStripes="1" showColumnStripes="0"/>
</table>
</file>

<file path=xl/tables/table155.xml><?xml version="1.0" encoding="utf-8"?>
<table xmlns="http://schemas.openxmlformats.org/spreadsheetml/2006/main" id="29" name="Geräteturnen_M1" displayName="Geräteturnen_M1" ref="D3:E24" totalsRowShown="0" headerRowDxfId="629" dataDxfId="628">
  <autoFilter ref="D3:E24"/>
  <sortState ref="D4:E25">
    <sortCondition ref="D4:D25"/>
  </sortState>
  <tableColumns count="2">
    <tableColumn id="1" name="Resultat" dataDxfId="627"/>
    <tableColumn id="2" name="Note" dataDxfId="626"/>
  </tableColumns>
  <tableStyleInfo name="TableStyleMedium5" showFirstColumn="0" showLastColumn="0" showRowStripes="1" showColumnStripes="0"/>
</table>
</file>

<file path=xl/tables/table156.xml><?xml version="1.0" encoding="utf-8"?>
<table xmlns="http://schemas.openxmlformats.org/spreadsheetml/2006/main" id="30" name="Parkour_K1" displayName="Parkour_K1" ref="G3:H30" totalsRowShown="0" headerRowDxfId="625" dataDxfId="624">
  <autoFilter ref="G3:H30"/>
  <sortState ref="G4:H31">
    <sortCondition ref="G4:G31"/>
  </sortState>
  <tableColumns count="2">
    <tableColumn id="1" name="Resultat" dataDxfId="623"/>
    <tableColumn id="2" name="Note" dataDxfId="622"/>
  </tableColumns>
  <tableStyleInfo name="TableStyleMedium2" showFirstColumn="0" showLastColumn="0" showRowStripes="1" showColumnStripes="0"/>
</table>
</file>

<file path=xl/tables/table157.xml><?xml version="1.0" encoding="utf-8"?>
<table xmlns="http://schemas.openxmlformats.org/spreadsheetml/2006/main" id="31" name="Parkour_M1" displayName="Parkour_M1" ref="J3:K30" totalsRowShown="0" headerRowDxfId="621" dataDxfId="620">
  <autoFilter ref="J3:K30"/>
  <sortState ref="J4:K31">
    <sortCondition ref="J4:J31"/>
  </sortState>
  <tableColumns count="2">
    <tableColumn id="1" name="Resultat" dataDxfId="619"/>
    <tableColumn id="2" name="Note" dataDxfId="618"/>
  </tableColumns>
  <tableStyleInfo name="TableStyleMedium5" showFirstColumn="0" showLastColumn="0" showRowStripes="1" showColumnStripes="0"/>
</table>
</file>

<file path=xl/tables/table158.xml><?xml version="1.0" encoding="utf-8"?>
<table xmlns="http://schemas.openxmlformats.org/spreadsheetml/2006/main" id="112" name="Geräteturnen_K2" displayName="Geräteturnen_K2" ref="A3:B24" totalsRowShown="0" headerRowDxfId="613" dataDxfId="612">
  <autoFilter ref="A3:B24"/>
  <sortState ref="A4:B25">
    <sortCondition ref="A4:A25"/>
  </sortState>
  <tableColumns count="2">
    <tableColumn id="1" name="Resultat" dataDxfId="611"/>
    <tableColumn id="2" name="Note" dataDxfId="610"/>
  </tableColumns>
  <tableStyleInfo name="TableStyleMedium2" showFirstColumn="0" showLastColumn="0" showRowStripes="1" showColumnStripes="0"/>
</table>
</file>

<file path=xl/tables/table159.xml><?xml version="1.0" encoding="utf-8"?>
<table xmlns="http://schemas.openxmlformats.org/spreadsheetml/2006/main" id="113" name="Geräteturnen_M2" displayName="Geräteturnen_M2" ref="D3:E24" totalsRowShown="0" headerRowDxfId="609" dataDxfId="608">
  <autoFilter ref="D3:E24"/>
  <sortState ref="D4:E25">
    <sortCondition ref="D4:D25"/>
  </sortState>
  <tableColumns count="2">
    <tableColumn id="1" name="Resultat" dataDxfId="607"/>
    <tableColumn id="2" name="Note" dataDxfId="606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145" name="HochsprungResultat" displayName="HochsprungResultat" ref="AU18:AU48" totalsRowShown="0" headerRowDxfId="301" dataDxfId="34">
  <autoFilter ref="AU18:AU48"/>
  <tableColumns count="1">
    <tableColumn id="1" name="Resultat" dataDxfId="35"/>
  </tableColumns>
  <tableStyleInfo name="TableStyleMedium2" showFirstColumn="0" showLastColumn="0" showRowStripes="1" showColumnStripes="0"/>
</table>
</file>

<file path=xl/tables/table160.xml><?xml version="1.0" encoding="utf-8"?>
<table xmlns="http://schemas.openxmlformats.org/spreadsheetml/2006/main" id="114" name="Parkour_K2" displayName="Parkour_K2" ref="G3:H30" totalsRowShown="0" headerRowDxfId="605" dataDxfId="604">
  <autoFilter ref="G3:H30"/>
  <sortState ref="G4:H31">
    <sortCondition ref="G4:G31"/>
  </sortState>
  <tableColumns count="2">
    <tableColumn id="1" name="Resultat" dataDxfId="603"/>
    <tableColumn id="2" name="Note" dataDxfId="602"/>
  </tableColumns>
  <tableStyleInfo name="TableStyleMedium2" showFirstColumn="0" showLastColumn="0" showRowStripes="1" showColumnStripes="0"/>
</table>
</file>

<file path=xl/tables/table161.xml><?xml version="1.0" encoding="utf-8"?>
<table xmlns="http://schemas.openxmlformats.org/spreadsheetml/2006/main" id="115" name="Parkour_M2" displayName="Parkour_M2" ref="J3:K30" totalsRowShown="0" headerRowDxfId="601" dataDxfId="600">
  <autoFilter ref="J3:K30"/>
  <sortState ref="J4:K31">
    <sortCondition ref="J4:J31"/>
  </sortState>
  <tableColumns count="2">
    <tableColumn id="1" name="Resultat" dataDxfId="599"/>
    <tableColumn id="2" name="Note" dataDxfId="598"/>
  </tableColumns>
  <tableStyleInfo name="TableStyleMedium5" showFirstColumn="0" showLastColumn="0" showRowStripes="1" showColumnStripes="0"/>
</table>
</file>

<file path=xl/tables/table162.xml><?xml version="1.0" encoding="utf-8"?>
<table xmlns="http://schemas.openxmlformats.org/spreadsheetml/2006/main" id="32" name="Tanzen_K1" displayName="Tanzen_K1" ref="A3:B26" totalsRowShown="0" headerRowDxfId="581" dataDxfId="580">
  <autoFilter ref="A3:B26"/>
  <sortState ref="A4:B25">
    <sortCondition ref="A4:A25"/>
  </sortState>
  <tableColumns count="2">
    <tableColumn id="1" name="Resultat" dataDxfId="579"/>
    <tableColumn id="2" name="Note" dataDxfId="578"/>
  </tableColumns>
  <tableStyleInfo name="TableStyleMedium2" showFirstColumn="0" showLastColumn="0" showRowStripes="1" showColumnStripes="0"/>
</table>
</file>

<file path=xl/tables/table163.xml><?xml version="1.0" encoding="utf-8"?>
<table xmlns="http://schemas.openxmlformats.org/spreadsheetml/2006/main" id="33" name="Tanzen_M1" displayName="Tanzen_M1" ref="D3:E26" totalsRowShown="0" headerRowDxfId="577" dataDxfId="576">
  <autoFilter ref="D3:E26"/>
  <sortState ref="D4:E25">
    <sortCondition ref="D4:D25"/>
  </sortState>
  <tableColumns count="2">
    <tableColumn id="1" name="Resultat" dataDxfId="575"/>
    <tableColumn id="2" name="Note" dataDxfId="574"/>
  </tableColumns>
  <tableStyleInfo name="TableStyleMedium5" showFirstColumn="0" showLastColumn="0" showRowStripes="1" showColumnStripes="0"/>
</table>
</file>

<file path=xl/tables/table164.xml><?xml version="1.0" encoding="utf-8"?>
<table xmlns="http://schemas.openxmlformats.org/spreadsheetml/2006/main" id="34" name="RopeSkipping_K1" displayName="RopeSkipping_K1" ref="G3:H22" totalsRowShown="0" headerRowDxfId="573" dataDxfId="572">
  <autoFilter ref="G3:H22"/>
  <sortState ref="G4:H20">
    <sortCondition ref="G4:G20"/>
  </sortState>
  <tableColumns count="2">
    <tableColumn id="1" name="Resultat" dataDxfId="571"/>
    <tableColumn id="2" name="Note" dataDxfId="570"/>
  </tableColumns>
  <tableStyleInfo name="TableStyleMedium2" showFirstColumn="0" showLastColumn="0" showRowStripes="1" showColumnStripes="0"/>
</table>
</file>

<file path=xl/tables/table165.xml><?xml version="1.0" encoding="utf-8"?>
<table xmlns="http://schemas.openxmlformats.org/spreadsheetml/2006/main" id="35" name="RopeSkipping_M1" displayName="RopeSkipping_M1" ref="J3:K22" totalsRowShown="0" headerRowDxfId="569" dataDxfId="568">
  <autoFilter ref="J3:K22"/>
  <sortState ref="J4:K20">
    <sortCondition ref="J4:J20"/>
  </sortState>
  <tableColumns count="2">
    <tableColumn id="1" name="Resultat" dataDxfId="567"/>
    <tableColumn id="2" name="Note" dataDxfId="566"/>
  </tableColumns>
  <tableStyleInfo name="TableStyleMedium5" showFirstColumn="0" showLastColumn="0" showRowStripes="1" showColumnStripes="0"/>
</table>
</file>

<file path=xl/tables/table166.xml><?xml version="1.0" encoding="utf-8"?>
<table xmlns="http://schemas.openxmlformats.org/spreadsheetml/2006/main" id="36" name="Aerobic_K1" displayName="Aerobic_K1" ref="M3:N26" totalsRowShown="0" headerRowDxfId="565" dataDxfId="564">
  <autoFilter ref="M3:N26"/>
  <sortState ref="M4:N25">
    <sortCondition ref="M4:M25"/>
  </sortState>
  <tableColumns count="2">
    <tableColumn id="1" name="Resultat" dataDxfId="563"/>
    <tableColumn id="2" name="Note" dataDxfId="562"/>
  </tableColumns>
  <tableStyleInfo name="TableStyleMedium2" showFirstColumn="0" showLastColumn="0" showRowStripes="1" showColumnStripes="0"/>
</table>
</file>

<file path=xl/tables/table167.xml><?xml version="1.0" encoding="utf-8"?>
<table xmlns="http://schemas.openxmlformats.org/spreadsheetml/2006/main" id="37" name="Aerobic_M1" displayName="Aerobic_M1" ref="P3:Q26" totalsRowShown="0" headerRowDxfId="561" dataDxfId="560">
  <autoFilter ref="P3:Q26"/>
  <sortState ref="P4:Q25">
    <sortCondition ref="P4:P25"/>
  </sortState>
  <tableColumns count="2">
    <tableColumn id="1" name="Resultat" dataDxfId="559"/>
    <tableColumn id="2" name="Note" dataDxfId="558"/>
  </tableColumns>
  <tableStyleInfo name="TableStyleMedium5" showFirstColumn="0" showLastColumn="0" showRowStripes="1" showColumnStripes="0"/>
</table>
</file>

<file path=xl/tables/table168.xml><?xml version="1.0" encoding="utf-8"?>
<table xmlns="http://schemas.openxmlformats.org/spreadsheetml/2006/main" id="116" name="Tanzen_K2" displayName="Tanzen_K2" ref="A3:B26" totalsRowShown="0" headerRowDxfId="541" dataDxfId="540">
  <autoFilter ref="A3:B26"/>
  <sortState ref="A4:B27">
    <sortCondition ref="A4:A27"/>
  </sortState>
  <tableColumns count="2">
    <tableColumn id="1" name="Resultat" dataDxfId="539"/>
    <tableColumn id="2" name="Note" dataDxfId="538"/>
  </tableColumns>
  <tableStyleInfo name="TableStyleMedium2" showFirstColumn="0" showLastColumn="0" showRowStripes="1" showColumnStripes="0"/>
</table>
</file>

<file path=xl/tables/table169.xml><?xml version="1.0" encoding="utf-8"?>
<table xmlns="http://schemas.openxmlformats.org/spreadsheetml/2006/main" id="117" name="Tanzen_M2" displayName="Tanzen_M2" ref="D3:E26" totalsRowShown="0" headerRowDxfId="537" dataDxfId="536">
  <autoFilter ref="D3:E26"/>
  <sortState ref="D4:E27">
    <sortCondition ref="D4:D27"/>
  </sortState>
  <tableColumns count="2">
    <tableColumn id="1" name="Resultat" dataDxfId="535"/>
    <tableColumn id="2" name="Note" dataDxfId="534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146" name="HochsprungNote" displayName="HochsprungNote" ref="BC18:BC48" totalsRowShown="0" headerRowDxfId="299" dataDxfId="298">
  <autoFilter ref="BC18:BC48"/>
  <tableColumns count="1">
    <tableColumn id="1" name="Note" dataDxfId="300">
      <calculatedColumnFormula>IF(OR(BB19="",HochsprungSkalawert[[#This Row],[Skala-Wert]]=Stammdaten!$AX$19),"",INDEX(INDIRECT(BB19),MATCH(HochsprungSkalawert[[#This Row],[Skala-Wert]],INDIRECT(AY19),0)))</calculatedColumnFormula>
    </tableColumn>
  </tableColumns>
  <tableStyleInfo name="TableStyleMedium4" showFirstColumn="0" showLastColumn="0" showRowStripes="1" showColumnStripes="0"/>
</table>
</file>

<file path=xl/tables/table170.xml><?xml version="1.0" encoding="utf-8"?>
<table xmlns="http://schemas.openxmlformats.org/spreadsheetml/2006/main" id="118" name="RopeSkipping_K2" displayName="RopeSkipping_K2" ref="G3:H22" totalsRowShown="0" headerRowDxfId="533" dataDxfId="532">
  <autoFilter ref="G3:H22"/>
  <sortState ref="G4:H20">
    <sortCondition ref="G4:G20"/>
  </sortState>
  <tableColumns count="2">
    <tableColumn id="1" name="Resultat" dataDxfId="531"/>
    <tableColumn id="2" name="Note" dataDxfId="530"/>
  </tableColumns>
  <tableStyleInfo name="TableStyleMedium2" showFirstColumn="0" showLastColumn="0" showRowStripes="1" showColumnStripes="0"/>
</table>
</file>

<file path=xl/tables/table171.xml><?xml version="1.0" encoding="utf-8"?>
<table xmlns="http://schemas.openxmlformats.org/spreadsheetml/2006/main" id="119" name="RopeSkipping_M2" displayName="RopeSkipping_M2" ref="J3:K22" totalsRowShown="0" headerRowDxfId="529" dataDxfId="528">
  <autoFilter ref="J3:K22"/>
  <sortState ref="J4:K20">
    <sortCondition ref="J4:J20"/>
  </sortState>
  <tableColumns count="2">
    <tableColumn id="1" name="Resultat" dataDxfId="527"/>
    <tableColumn id="2" name="Note" dataDxfId="526"/>
  </tableColumns>
  <tableStyleInfo name="TableStyleMedium5" showFirstColumn="0" showLastColumn="0" showRowStripes="1" showColumnStripes="0"/>
</table>
</file>

<file path=xl/tables/table172.xml><?xml version="1.0" encoding="utf-8"?>
<table xmlns="http://schemas.openxmlformats.org/spreadsheetml/2006/main" id="120" name="Aerobic_K2" displayName="Aerobic_K2" ref="M3:N26" totalsRowShown="0" headerRowDxfId="525" dataDxfId="524">
  <autoFilter ref="M3:N26"/>
  <sortState ref="M4:N27">
    <sortCondition ref="M4:M27"/>
  </sortState>
  <tableColumns count="2">
    <tableColumn id="1" name="Resultat" dataDxfId="523"/>
    <tableColumn id="2" name="Note" dataDxfId="522"/>
  </tableColumns>
  <tableStyleInfo name="TableStyleMedium2" showFirstColumn="0" showLastColumn="0" showRowStripes="1" showColumnStripes="0"/>
</table>
</file>

<file path=xl/tables/table173.xml><?xml version="1.0" encoding="utf-8"?>
<table xmlns="http://schemas.openxmlformats.org/spreadsheetml/2006/main" id="121" name="Aerobic_M2" displayName="Aerobic_M2" ref="P3:Q26" totalsRowShown="0" headerRowDxfId="521" dataDxfId="520">
  <autoFilter ref="P3:Q26"/>
  <sortState ref="P4:Q27">
    <sortCondition ref="P4:P27"/>
  </sortState>
  <tableColumns count="2">
    <tableColumn id="1" name="Resultat" dataDxfId="519"/>
    <tableColumn id="2" name="Note" dataDxfId="518"/>
  </tableColumns>
  <tableStyleInfo name="TableStyleMedium5" showFirstColumn="0" showLastColumn="0" showRowStripes="1" showColumnStripes="0"/>
</table>
</file>

<file path=xl/tables/table174.xml><?xml version="1.0" encoding="utf-8"?>
<table xmlns="http://schemas.openxmlformats.org/spreadsheetml/2006/main" id="4" name="Basketball_K1" displayName="Basketball_K1" ref="A3:B54" totalsRowShown="0" dataDxfId="517">
  <autoFilter ref="A3:B54"/>
  <sortState ref="A4:B55">
    <sortCondition descending="1" ref="A4"/>
  </sortState>
  <tableColumns count="2">
    <tableColumn id="1" name="Resultat" dataDxfId="516"/>
    <tableColumn id="2" name="Note" dataDxfId="515"/>
  </tableColumns>
  <tableStyleInfo name="TableStyleMedium2" showFirstColumn="0" showLastColumn="0" showRowStripes="1" showColumnStripes="0"/>
</table>
</file>

<file path=xl/tables/table175.xml><?xml version="1.0" encoding="utf-8"?>
<table xmlns="http://schemas.openxmlformats.org/spreadsheetml/2006/main" id="5" name="Basketball_M1" displayName="Basketball_M1" ref="D3:E54" totalsRowShown="0" dataDxfId="514">
  <autoFilter ref="D3:E54"/>
  <sortState ref="D4:E55">
    <sortCondition descending="1" ref="D4"/>
  </sortState>
  <tableColumns count="2">
    <tableColumn id="1" name="Resultat" dataDxfId="513"/>
    <tableColumn id="2" name="Note" dataDxfId="512"/>
  </tableColumns>
  <tableStyleInfo name="TableStyleMedium5" showFirstColumn="0" showLastColumn="0" showRowStripes="1" showColumnStripes="0"/>
</table>
</file>

<file path=xl/tables/table176.xml><?xml version="1.0" encoding="utf-8"?>
<table xmlns="http://schemas.openxmlformats.org/spreadsheetml/2006/main" id="1" name="Fussball_K1" displayName="Fussball_K1" ref="G3:H54" totalsRowShown="0">
  <autoFilter ref="G3:H54"/>
  <sortState ref="G4:H55">
    <sortCondition descending="1" ref="G4"/>
  </sortState>
  <tableColumns count="2">
    <tableColumn id="1" name="Resultat" dataDxfId="511"/>
    <tableColumn id="2" name="Note" dataDxfId="510"/>
  </tableColumns>
  <tableStyleInfo name="TableStyleMedium2" showFirstColumn="0" showLastColumn="0" showRowStripes="1" showColumnStripes="0"/>
</table>
</file>

<file path=xl/tables/table177.xml><?xml version="1.0" encoding="utf-8"?>
<table xmlns="http://schemas.openxmlformats.org/spreadsheetml/2006/main" id="2" name="Fussball_M1" displayName="Fussball_M1" ref="J3:K54" totalsRowShown="0" dataDxfId="509">
  <autoFilter ref="J3:K54"/>
  <sortState ref="J4:K55">
    <sortCondition descending="1" ref="J4"/>
  </sortState>
  <tableColumns count="2">
    <tableColumn id="1" name="Resultat" dataDxfId="508"/>
    <tableColumn id="2" name="Note" dataDxfId="507"/>
  </tableColumns>
  <tableStyleInfo name="TableStyleMedium5" showFirstColumn="0" showLastColumn="0" showRowStripes="1" showColumnStripes="0"/>
</table>
</file>

<file path=xl/tables/table178.xml><?xml version="1.0" encoding="utf-8"?>
<table xmlns="http://schemas.openxmlformats.org/spreadsheetml/2006/main" id="3" name="Handball_K1" displayName="Handball_K1" ref="M3:N54" totalsRowShown="0">
  <autoFilter ref="M3:N54"/>
  <sortState ref="M4:N55">
    <sortCondition descending="1" ref="M4"/>
  </sortState>
  <tableColumns count="2">
    <tableColumn id="1" name="Resultat" dataDxfId="506"/>
    <tableColumn id="2" name="Note" dataDxfId="505"/>
  </tableColumns>
  <tableStyleInfo name="TableStyleMedium2" showFirstColumn="0" showLastColumn="0" showRowStripes="1" showColumnStripes="0"/>
</table>
</file>

<file path=xl/tables/table179.xml><?xml version="1.0" encoding="utf-8"?>
<table xmlns="http://schemas.openxmlformats.org/spreadsheetml/2006/main" id="11" name="Handball_M1" displayName="Handball_M1" ref="P3:Q54" totalsRowShown="0">
  <autoFilter ref="P3:Q54"/>
  <sortState ref="P4:Q55">
    <sortCondition descending="1" ref="P4"/>
  </sortState>
  <tableColumns count="2">
    <tableColumn id="1" name="Resultat" dataDxfId="504"/>
    <tableColumn id="2" name="Note" dataDxfId="503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147" name="HochsprungSkalawert" displayName="HochsprungSkalawert" ref="AZ18:AZ48" totalsRowShown="0" headerRowDxfId="296" dataDxfId="295">
  <autoFilter ref="AZ18:AZ48"/>
  <tableColumns count="1">
    <tableColumn id="1" name="Skala-Wert" dataDxfId="297">
      <calculatedColumnFormula>IF(AY19="","",IF(OR(HochsprungResultat[[#This Row],[Resultat]]=Stammdaten!$AX$22,HochsprungResultat[[#This Row],[Resultat]]=Stammdaten!$AX$19),Stammdaten!$AX$19,IF(ISNA(INDEX(INDIRECT(AY19),MATCH(HochsprungGerundet[[#This Row],[Rundung]],INDIRECT(AY19),AY$18))),IF(AY$18=-1,LARGE(INDIRECT(AY19),1),SMALL(INDIRECT(AY19),1)),INDEX(INDIRECT(AY19),MATCH(HochsprungGerundet[[#This Row],[Rundung]],INDIRECT(AY19),AY$18)))))</calculatedColumnFormula>
    </tableColumn>
  </tableColumns>
  <tableStyleInfo name="TableStyleMedium4" showFirstColumn="0" showLastColumn="0" showRowStripes="1" showColumnStripes="0"/>
</table>
</file>

<file path=xl/tables/table180.xml><?xml version="1.0" encoding="utf-8"?>
<table xmlns="http://schemas.openxmlformats.org/spreadsheetml/2006/main" id="12" name="Unihockey_K1" displayName="Unihockey_K1" ref="S3:T54" totalsRowShown="0">
  <autoFilter ref="S3:T54"/>
  <sortState ref="S4:T55">
    <sortCondition descending="1" ref="S4"/>
  </sortState>
  <tableColumns count="2">
    <tableColumn id="1" name="Resultat" dataDxfId="502"/>
    <tableColumn id="2" name="Note" dataDxfId="501"/>
  </tableColumns>
  <tableStyleInfo name="TableStyleMedium2" showFirstColumn="0" showLastColumn="0" showRowStripes="1" showColumnStripes="0"/>
</table>
</file>

<file path=xl/tables/table181.xml><?xml version="1.0" encoding="utf-8"?>
<table xmlns="http://schemas.openxmlformats.org/spreadsheetml/2006/main" id="13" name="Unihockey_M1" displayName="Unihockey_M1" ref="V3:W54" totalsRowShown="0">
  <autoFilter ref="V3:W54"/>
  <sortState ref="V4:W55">
    <sortCondition descending="1" ref="V4"/>
  </sortState>
  <tableColumns count="2">
    <tableColumn id="1" name="Resultat" dataDxfId="500"/>
    <tableColumn id="2" name="Note" dataDxfId="499"/>
  </tableColumns>
  <tableStyleInfo name="TableStyleMedium5" showFirstColumn="0" showLastColumn="0" showRowStripes="1" showColumnStripes="0"/>
</table>
</file>

<file path=xl/tables/table182.xml><?xml version="1.0" encoding="utf-8"?>
<table xmlns="http://schemas.openxmlformats.org/spreadsheetml/2006/main" id="14" name="Volleyball_K1" displayName="Volleyball_K1" ref="Y3:Z39" totalsRowShown="0">
  <autoFilter ref="Y3:Z39"/>
  <sortState ref="Y4:Z33">
    <sortCondition ref="Y4"/>
  </sortState>
  <tableColumns count="2">
    <tableColumn id="1" name="Resultat" dataDxfId="498"/>
    <tableColumn id="2" name="Note" dataDxfId="497"/>
  </tableColumns>
  <tableStyleInfo name="TableStyleMedium2" showFirstColumn="0" showLastColumn="0" showRowStripes="1" showColumnStripes="0"/>
</table>
</file>

<file path=xl/tables/table183.xml><?xml version="1.0" encoding="utf-8"?>
<table xmlns="http://schemas.openxmlformats.org/spreadsheetml/2006/main" id="15" name="Volleyball_M1" displayName="Volleyball_M1" ref="AB3:AC39" totalsRowShown="0">
  <autoFilter ref="AB3:AC39"/>
  <sortState ref="AB4:AC33">
    <sortCondition ref="AB4"/>
  </sortState>
  <tableColumns count="2">
    <tableColumn id="1" name="Resultat" dataDxfId="496"/>
    <tableColumn id="2" name="Note" dataDxfId="495"/>
  </tableColumns>
  <tableStyleInfo name="TableStyleMedium5" showFirstColumn="0" showLastColumn="0" showRowStripes="1" showColumnStripes="0"/>
</table>
</file>

<file path=xl/tables/table184.xml><?xml version="1.0" encoding="utf-8"?>
<table xmlns="http://schemas.openxmlformats.org/spreadsheetml/2006/main" id="122" name="Basketball_K2" displayName="Basketball_K2" ref="A3:B54" totalsRowShown="0" dataDxfId="494">
  <autoFilter ref="A3:B54"/>
  <sortState ref="A4:B55">
    <sortCondition descending="1" ref="A4"/>
  </sortState>
  <tableColumns count="2">
    <tableColumn id="1" name="Resultat" dataDxfId="493"/>
    <tableColumn id="2" name="Note" dataDxfId="492"/>
  </tableColumns>
  <tableStyleInfo name="TableStyleMedium2" showFirstColumn="0" showLastColumn="0" showRowStripes="1" showColumnStripes="0"/>
</table>
</file>

<file path=xl/tables/table185.xml><?xml version="1.0" encoding="utf-8"?>
<table xmlns="http://schemas.openxmlformats.org/spreadsheetml/2006/main" id="123" name="Basketball_M2" displayName="Basketball_M2" ref="D3:E54" totalsRowShown="0" dataDxfId="491">
  <autoFilter ref="D3:E54"/>
  <sortState ref="D4:E55">
    <sortCondition descending="1" ref="D4"/>
  </sortState>
  <tableColumns count="2">
    <tableColumn id="1" name="Resultat" dataDxfId="490"/>
    <tableColumn id="2" name="Note" dataDxfId="489"/>
  </tableColumns>
  <tableStyleInfo name="TableStyleMedium5" showFirstColumn="0" showLastColumn="0" showRowStripes="1" showColumnStripes="0"/>
</table>
</file>

<file path=xl/tables/table186.xml><?xml version="1.0" encoding="utf-8"?>
<table xmlns="http://schemas.openxmlformats.org/spreadsheetml/2006/main" id="124" name="Fussball_K2" displayName="Fussball_K2" ref="G3:H54" totalsRowShown="0">
  <autoFilter ref="G3:H54"/>
  <sortState ref="G4:H55">
    <sortCondition descending="1" ref="G4"/>
  </sortState>
  <tableColumns count="2">
    <tableColumn id="1" name="Resultat" dataDxfId="488"/>
    <tableColumn id="2" name="Note" dataDxfId="487"/>
  </tableColumns>
  <tableStyleInfo name="TableStyleMedium2" showFirstColumn="0" showLastColumn="0" showRowStripes="1" showColumnStripes="0"/>
</table>
</file>

<file path=xl/tables/table187.xml><?xml version="1.0" encoding="utf-8"?>
<table xmlns="http://schemas.openxmlformats.org/spreadsheetml/2006/main" id="125" name="Fussball_M2" displayName="Fussball_M2" ref="J3:K54" totalsRowShown="0" dataDxfId="486">
  <autoFilter ref="J3:K54"/>
  <sortState ref="J4:K55">
    <sortCondition descending="1" ref="J4"/>
  </sortState>
  <tableColumns count="2">
    <tableColumn id="1" name="Resultat" dataDxfId="485"/>
    <tableColumn id="2" name="Note" dataDxfId="484"/>
  </tableColumns>
  <tableStyleInfo name="TableStyleMedium5" showFirstColumn="0" showLastColumn="0" showRowStripes="1" showColumnStripes="0"/>
</table>
</file>

<file path=xl/tables/table188.xml><?xml version="1.0" encoding="utf-8"?>
<table xmlns="http://schemas.openxmlformats.org/spreadsheetml/2006/main" id="126" name="Handball_K2" displayName="Handball_K2" ref="M3:N54" totalsRowShown="0">
  <autoFilter ref="M3:N54"/>
  <sortState ref="M4:N55">
    <sortCondition descending="1" ref="M4"/>
  </sortState>
  <tableColumns count="2">
    <tableColumn id="1" name="Resultat" dataDxfId="483"/>
    <tableColumn id="2" name="Note" dataDxfId="482"/>
  </tableColumns>
  <tableStyleInfo name="TableStyleMedium2" showFirstColumn="0" showLastColumn="0" showRowStripes="1" showColumnStripes="0"/>
</table>
</file>

<file path=xl/tables/table189.xml><?xml version="1.0" encoding="utf-8"?>
<table xmlns="http://schemas.openxmlformats.org/spreadsheetml/2006/main" id="127" name="Handball_M2" displayName="Handball_M2" ref="P3:Q54" totalsRowShown="0">
  <autoFilter ref="P3:Q54"/>
  <sortState ref="P4:Q55">
    <sortCondition descending="1" ref="P4"/>
  </sortState>
  <tableColumns count="2">
    <tableColumn id="1" name="Resultat" dataDxfId="481"/>
    <tableColumn id="2" name="Note" dataDxfId="480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148" name="WeitsprungResultat" displayName="WeitsprungResultat" ref="BE18:BE48" totalsRowShown="0" headerRowDxfId="294" dataDxfId="32">
  <autoFilter ref="BE18:BE48"/>
  <tableColumns count="1">
    <tableColumn id="1" name="Resultat" dataDxfId="33"/>
  </tableColumns>
  <tableStyleInfo name="TableStyleMedium2" showFirstColumn="0" showLastColumn="0" showRowStripes="1" showColumnStripes="0"/>
</table>
</file>

<file path=xl/tables/table190.xml><?xml version="1.0" encoding="utf-8"?>
<table xmlns="http://schemas.openxmlformats.org/spreadsheetml/2006/main" id="128" name="Unihockey_K2" displayName="Unihockey_K2" ref="S3:T54" totalsRowShown="0">
  <autoFilter ref="S3:T54"/>
  <sortState ref="S4:T55">
    <sortCondition descending="1" ref="S4"/>
  </sortState>
  <tableColumns count="2">
    <tableColumn id="1" name="Resultat" dataDxfId="479"/>
    <tableColumn id="2" name="Note" dataDxfId="478"/>
  </tableColumns>
  <tableStyleInfo name="TableStyleMedium2" showFirstColumn="0" showLastColumn="0" showRowStripes="1" showColumnStripes="0"/>
</table>
</file>

<file path=xl/tables/table191.xml><?xml version="1.0" encoding="utf-8"?>
<table xmlns="http://schemas.openxmlformats.org/spreadsheetml/2006/main" id="129" name="Unihockey_M2" displayName="Unihockey_M2" ref="V3:W54" totalsRowShown="0">
  <autoFilter ref="V3:W54"/>
  <sortState ref="V4:W55">
    <sortCondition descending="1" ref="V4"/>
  </sortState>
  <tableColumns count="2">
    <tableColumn id="1" name="Resultat" dataDxfId="477"/>
    <tableColumn id="2" name="Note" dataDxfId="476"/>
  </tableColumns>
  <tableStyleInfo name="TableStyleMedium5" showFirstColumn="0" showLastColumn="0" showRowStripes="1" showColumnStripes="0"/>
</table>
</file>

<file path=xl/tables/table192.xml><?xml version="1.0" encoding="utf-8"?>
<table xmlns="http://schemas.openxmlformats.org/spreadsheetml/2006/main" id="130" name="Volleyball_K2" displayName="Volleyball_K2" ref="Y3:Z39" totalsRowShown="0">
  <autoFilter ref="Y3:Z39"/>
  <sortState ref="Y4:Z35">
    <sortCondition ref="Y4"/>
  </sortState>
  <tableColumns count="2">
    <tableColumn id="1" name="Resultat" dataDxfId="475"/>
    <tableColumn id="2" name="Note" dataDxfId="474"/>
  </tableColumns>
  <tableStyleInfo name="TableStyleMedium2" showFirstColumn="0" showLastColumn="0" showRowStripes="1" showColumnStripes="0"/>
</table>
</file>

<file path=xl/tables/table193.xml><?xml version="1.0" encoding="utf-8"?>
<table xmlns="http://schemas.openxmlformats.org/spreadsheetml/2006/main" id="131" name="Volleyball_M2" displayName="Volleyball_M2" ref="AB3:AC39" totalsRowShown="0">
  <autoFilter ref="AB3:AC39"/>
  <sortState ref="AB4:AC35">
    <sortCondition ref="AB4"/>
  </sortState>
  <tableColumns count="2">
    <tableColumn id="1" name="Resultat" dataDxfId="473"/>
    <tableColumn id="2" name="Note" dataDxfId="472"/>
  </tableColumns>
  <tableStyleInfo name="TableStyleMedium5" showFirstColumn="0" showLastColumn="0" showRowStripes="1" showColumnStripes="0"/>
</table>
</file>

<file path=xl/tables/table194.xml><?xml version="1.0" encoding="utf-8"?>
<table xmlns="http://schemas.openxmlformats.org/spreadsheetml/2006/main" id="84" name="Gleiten_Knaben" displayName="Gleiten_Knaben" ref="A3:A6" totalsRowShown="0" headerRowDxfId="471" dataDxfId="470">
  <autoFilter ref="A3:A6"/>
  <tableColumns count="1">
    <tableColumn id="1" name="Status" dataDxfId="469">
      <calculatedColumnFormula>$E$3&amp;" "&amp;$E$2</calculatedColumnFormula>
    </tableColumn>
  </tableColumns>
  <tableStyleInfo name="TableStyleMedium2" showFirstColumn="0" showLastColumn="0" showRowStripes="1" showColumnStripes="0"/>
</table>
</file>

<file path=xl/tables/table195.xml><?xml version="1.0" encoding="utf-8"?>
<table xmlns="http://schemas.openxmlformats.org/spreadsheetml/2006/main" id="85" name="Gleiten_Mädchen" displayName="Gleiten_Mädchen" ref="C3:C6" totalsRowShown="0" headerRowDxfId="468" dataDxfId="467">
  <autoFilter ref="C3:C6"/>
  <tableColumns count="1">
    <tableColumn id="1" name="Status" dataDxfId="466">
      <calculatedColumnFormula>$E$3&amp;" "&amp;$E$2</calculatedColumnFormula>
    </tableColumn>
  </tableColumns>
  <tableStyleInfo name="TableStyleMedium5" showFirstColumn="0" showLastColumn="0" showRowStripes="1" showColumnStripes="0"/>
</table>
</file>

<file path=xl/tables/table196.xml><?xml version="1.0" encoding="utf-8"?>
<table xmlns="http://schemas.openxmlformats.org/spreadsheetml/2006/main" id="62" name="Schwimmen_Knaben" displayName="Schwimmen_Knaben" ref="A3:B5" totalsRowShown="0" headerRowDxfId="465" dataDxfId="464">
  <autoFilter ref="A3:B5"/>
  <sortState ref="A4:B6">
    <sortCondition descending="1" ref="A4"/>
  </sortState>
  <tableColumns count="2">
    <tableColumn id="1" name="Resultat" dataDxfId="463"/>
    <tableColumn id="2" name="Status" dataDxfId="462"/>
  </tableColumns>
  <tableStyleInfo name="TableStyleMedium2" showFirstColumn="0" showLastColumn="0" showRowStripes="1" showColumnStripes="0"/>
</table>
</file>

<file path=xl/tables/table197.xml><?xml version="1.0" encoding="utf-8"?>
<table xmlns="http://schemas.openxmlformats.org/spreadsheetml/2006/main" id="63" name="Schwimmen_Mädchen" displayName="Schwimmen_Mädchen" ref="D3:E5" totalsRowShown="0" headerRowDxfId="461" dataDxfId="460">
  <autoFilter ref="D3:E5"/>
  <sortState ref="D4:E6">
    <sortCondition ref="D4"/>
  </sortState>
  <tableColumns count="2">
    <tableColumn id="1" name="Resultat" dataDxfId="459"/>
    <tableColumn id="2" name="Status" dataDxfId="458"/>
  </tableColumns>
  <tableStyleInfo name="TableStyleMedium5" showFirstColumn="0" showLastColumn="0" showRowStripes="1" showColumnStripes="0"/>
</table>
</file>

<file path=xl/tables/table198.xml><?xml version="1.0" encoding="utf-8"?>
<table xmlns="http://schemas.openxmlformats.org/spreadsheetml/2006/main" id="56" name="Beweglichkeit_Knaben" displayName="Beweglichkeit_Knaben" ref="A3:B21" totalsRowShown="0">
  <autoFilter ref="A3:B21"/>
  <sortState ref="A4:B22">
    <sortCondition ref="A4"/>
  </sortState>
  <tableColumns count="2">
    <tableColumn id="1" name="Resultat" dataDxfId="457"/>
    <tableColumn id="2" name="Note" dataDxfId="456"/>
  </tableColumns>
  <tableStyleInfo name="TableStyleMedium2" showFirstColumn="0" showLastColumn="0" showRowStripes="1" showColumnStripes="0"/>
</table>
</file>

<file path=xl/tables/table199.xml><?xml version="1.0" encoding="utf-8"?>
<table xmlns="http://schemas.openxmlformats.org/spreadsheetml/2006/main" id="57" name="Beweglichkeit_Mädchen" displayName="Beweglichkeit_Mädchen" ref="D3:E25" totalsRowShown="0">
  <autoFilter ref="D3:E25"/>
  <sortState ref="D4:E26">
    <sortCondition ref="D4"/>
  </sortState>
  <tableColumns count="2">
    <tableColumn id="1" name="Resultat" dataDxfId="455"/>
    <tableColumn id="2" name="Note" dataDxfId="454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76" name="SechzigmLaufResultat" displayName="SechzigmLaufResultat" ref="G18:G48" totalsRowShown="0" headerRowDxfId="331" dataDxfId="42">
  <autoFilter ref="G18:G48"/>
  <tableColumns count="1">
    <tableColumn id="1" name="Resultat" dataDxfId="43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149" name="WeitsprungNote" displayName="WeitsprungNote" ref="BM18:BM48" totalsRowShown="0" headerRowDxfId="292" dataDxfId="291">
  <autoFilter ref="BM18:BM48"/>
  <tableColumns count="1">
    <tableColumn id="1" name="Note" dataDxfId="293">
      <calculatedColumnFormula>IF(OR(BL19="",WeitsprungSkalawert[[#This Row],[Skala-Wert]]=Stammdaten!$AX$19),"",INDEX(INDIRECT(BL19),MATCH(WeitsprungSkalawert[[#This Row],[Skala-Wert]],INDIRECT(BI19),0)))</calculatedColumnFormula>
    </tableColumn>
  </tableColumns>
  <tableStyleInfo name="TableStyleMedium4" showFirstColumn="0" showLastColumn="0" showRowStripes="1" showColumnStripes="0"/>
</table>
</file>

<file path=xl/tables/table200.xml><?xml version="1.0" encoding="utf-8"?>
<table xmlns="http://schemas.openxmlformats.org/spreadsheetml/2006/main" id="58" name="Rumpfkraft_Knaben" displayName="Rumpfkraft_Knaben" ref="G3:H35" totalsRowShown="0">
  <autoFilter ref="G3:H35"/>
  <sortState ref="G4:H36">
    <sortCondition ref="G4"/>
  </sortState>
  <tableColumns count="2">
    <tableColumn id="1" name="Resultat" dataDxfId="453"/>
    <tableColumn id="2" name="Note" dataDxfId="452"/>
  </tableColumns>
  <tableStyleInfo name="TableStyleMedium2" showFirstColumn="0" showLastColumn="0" showRowStripes="1" showColumnStripes="0"/>
</table>
</file>

<file path=xl/tables/table201.xml><?xml version="1.0" encoding="utf-8"?>
<table xmlns="http://schemas.openxmlformats.org/spreadsheetml/2006/main" id="59" name="Rumpfkraft_Mädchen" displayName="Rumpfkraft_Mädchen" ref="J3:K45" totalsRowShown="0">
  <autoFilter ref="J3:K45"/>
  <sortState ref="J4:K46">
    <sortCondition ref="J4"/>
  </sortState>
  <tableColumns count="2">
    <tableColumn id="1" name="Resultat" dataDxfId="451"/>
    <tableColumn id="2" name="Note" dataDxfId="450"/>
  </tableColumns>
  <tableStyleInfo name="TableStyleMedium5" showFirstColumn="0" showLastColumn="0" showRowStripes="1" showColumnStripes="0"/>
</table>
</file>

<file path=xl/tables/table202.xml><?xml version="1.0" encoding="utf-8"?>
<table xmlns="http://schemas.openxmlformats.org/spreadsheetml/2006/main" id="60" name="Konditionsparcours_K1" displayName="Konditionsparcours_K1" ref="M3:N54" totalsRowShown="0" headerRowDxfId="449" dataDxfId="448">
  <autoFilter ref="M3:N54"/>
  <sortState ref="M4:N55">
    <sortCondition ref="M4"/>
  </sortState>
  <tableColumns count="2">
    <tableColumn id="1" name="Resultat" dataDxfId="447"/>
    <tableColumn id="2" name="Note" dataDxfId="446"/>
  </tableColumns>
  <tableStyleInfo name="TableStyleMedium2" showFirstColumn="0" showLastColumn="0" showRowStripes="1" showColumnStripes="0"/>
</table>
</file>

<file path=xl/tables/table203.xml><?xml version="1.0" encoding="utf-8"?>
<table xmlns="http://schemas.openxmlformats.org/spreadsheetml/2006/main" id="61" name="Konditionsparcours_M1" displayName="Konditionsparcours_M1" ref="P3:Q54" totalsRowShown="0">
  <autoFilter ref="P3:Q54"/>
  <sortState ref="P4:Q55">
    <sortCondition ref="P4"/>
  </sortState>
  <tableColumns count="2">
    <tableColumn id="1" name="Resultat" dataDxfId="445"/>
    <tableColumn id="2" name="Note" dataDxfId="444"/>
  </tableColumns>
  <tableStyleInfo name="TableStyleMedium5" showFirstColumn="0" showLastColumn="0" showRowStripes="1" showColumnStripes="0"/>
</table>
</file>

<file path=xl/tables/table204.xml><?xml version="1.0" encoding="utf-8"?>
<table xmlns="http://schemas.openxmlformats.org/spreadsheetml/2006/main" id="132" name="Konditionsparcours_K2" displayName="Konditionsparcours_K2" ref="S3:T54" totalsRowShown="0" headerRowDxfId="443" dataDxfId="442">
  <autoFilter ref="S3:T54"/>
  <sortState ref="S4:T55">
    <sortCondition ref="S4"/>
  </sortState>
  <tableColumns count="2">
    <tableColumn id="1" name="Resultat" dataDxfId="441"/>
    <tableColumn id="2" name="Note" dataDxfId="440"/>
  </tableColumns>
  <tableStyleInfo name="TableStyleMedium2" showFirstColumn="0" showLastColumn="0" showRowStripes="1" showColumnStripes="0"/>
</table>
</file>

<file path=xl/tables/table205.xml><?xml version="1.0" encoding="utf-8"?>
<table xmlns="http://schemas.openxmlformats.org/spreadsheetml/2006/main" id="133" name="Konditionsparcours_M2" displayName="Konditionsparcours_M2" ref="V3:W54" totalsRowShown="0">
  <autoFilter ref="V3:W54"/>
  <sortState ref="V4:W55">
    <sortCondition ref="V4"/>
  </sortState>
  <tableColumns count="2">
    <tableColumn id="1" name="Resultat" dataDxfId="439"/>
    <tableColumn id="2" name="Note" dataDxfId="438"/>
  </tableColumns>
  <tableStyleInfo name="TableStyleMedium5" showFirstColumn="0" showLastColumn="0" showRowStripes="1" showColumnStripes="0"/>
</table>
</file>

<file path=xl/tables/table206.xml><?xml version="1.0" encoding="utf-8"?>
<table xmlns="http://schemas.openxmlformats.org/spreadsheetml/2006/main" id="7" name="StdGeschlecht" displayName="StdGeschlecht" ref="C1:C3" totalsRowShown="0">
  <autoFilter ref="C1:C3"/>
  <tableColumns count="1">
    <tableColumn id="2" name="StdGeschlecht"/>
  </tableColumns>
  <tableStyleInfo name="TableStyleMedium2" showFirstColumn="0" showLastColumn="0" showRowStripes="1" showColumnStripes="0"/>
</table>
</file>

<file path=xl/tables/table207.xml><?xml version="1.0" encoding="utf-8"?>
<table xmlns="http://schemas.openxmlformats.org/spreadsheetml/2006/main" id="8" name="StdDispensation" displayName="StdDispensation" ref="A1:A3" totalsRowShown="0" headerRowDxfId="437" dataDxfId="436">
  <autoFilter ref="A1:A3"/>
  <tableColumns count="1">
    <tableColumn id="1" name="StdDispensation" dataDxfId="435"/>
  </tableColumns>
  <tableStyleInfo name="TableStyleMedium2" showFirstColumn="0" showLastColumn="0" showRowStripes="1" showColumnStripes="0"/>
</table>
</file>

<file path=xl/tables/table208.xml><?xml version="1.0" encoding="utf-8"?>
<table xmlns="http://schemas.openxmlformats.org/spreadsheetml/2006/main" id="17" name="StdBewertungen" displayName="StdBewertungen" ref="AS1:AT9" totalsRowShown="0">
  <autoFilter ref="AS1:AT9"/>
  <tableColumns count="2">
    <tableColumn id="1" name="StdBewertung"/>
    <tableColumn id="2" name="Anzeigetext"/>
  </tableColumns>
  <tableStyleInfo name="TableStyleMedium2" showFirstColumn="0" showLastColumn="0" showRowStripes="1" showColumnStripes="0"/>
</table>
</file>

<file path=xl/tables/table209.xml><?xml version="1.0" encoding="utf-8"?>
<table xmlns="http://schemas.openxmlformats.org/spreadsheetml/2006/main" id="18" name="StdDisziplinen" displayName="StdDisziplinen" ref="K1:AJ30" totalsRowShown="0">
  <autoFilter ref="K1:AJ30"/>
  <tableColumns count="26">
    <tableColumn id="10" name="ID"/>
    <tableColumn id="3" name="BS-Nr." dataDxfId="434"/>
    <tableColumn id="6" name="Fit0" dataDxfId="433"/>
    <tableColumn id="4" name="Gruppe" dataDxfId="432"/>
    <tableColumn id="7" name="Fit1" dataDxfId="431"/>
    <tableColumn id="5" name="Fähigkeit" dataDxfId="430"/>
    <tableColumn id="1" name="StdDisziplin"/>
    <tableColumn id="8" name="StdTabÜberschrift" dataDxfId="429">
      <calculatedColumnFormula>StdDisziplinen[[#This Row],[StdDisziplin]]</calculatedColumnFormula>
    </tableColumn>
    <tableColumn id="13" name="TabÜberschriftResultat" dataDxfId="428">
      <calculatedColumnFormula>StdDisziplinen[[#This Row],[StdTabÜberschrift]]&amp;"_XX"&amp;$AX$16</calculatedColumnFormula>
    </tableColumn>
    <tableColumn id="12" name="TabÜberschriftNote" dataDxfId="427">
      <calculatedColumnFormula>StdDisziplinen[[#This Row],[StdTabÜberschrift]]&amp;"_XX"&amp;$AX$18</calculatedColumnFormula>
    </tableColumn>
    <tableColumn id="14" name="TabÜberschriftDurchschnitt" dataDxfId="426">
      <calculatedColumnFormula>StdDisziplinen[[#This Row],[StdTabÜberschrift]]&amp;$AS$14</calculatedColumnFormula>
    </tableColumn>
    <tableColumn id="17" name="BereichBedingteFormatierung" dataDxfId="425">
      <calculatedColumnFormula>StdDisziplinen[[#This Row],[StdTabÜberschrift]]&amp;MID($AX$16,2,8)&amp;$AX$16</calculatedColumnFormula>
    </tableColumn>
    <tableColumn id="15" name="Resultatform" dataDxfId="424"/>
    <tableColumn id="2" name="Bewertung"/>
    <tableColumn id="24" name="Bewertung2" dataDxfId="423">
      <calculatedColumnFormula>StdDisziplinen[[#This Row],[Bewertung]]</calculatedColumnFormula>
    </tableColumn>
    <tableColumn id="11" name="Resultatanzeige" dataDxfId="422">
      <calculatedColumnFormula>IFERROR(INDEX(StdBewertungen[Anzeigetext],MATCH(StdDisziplinen[[#This Row],[Bewertung]],StdBewertungen[StdBewertung],0)),"")</calculatedColumnFormula>
    </tableColumn>
    <tableColumn id="9" name="Ergebnis"/>
    <tableColumn id="21" name="Maximalwert_OS1"/>
    <tableColumn id="20" name="Maximalwert_OS2"/>
    <tableColumn id="16" name="Vergleichstyp" dataDxfId="421"/>
    <tableColumn id="18" name="Mathematisch" dataDxfId="420"/>
    <tableColumn id="19" name="StdStellen" dataDxfId="419"/>
    <tableColumn id="26" name="GemStufe_JN" dataDxfId="418"/>
    <tableColumn id="25" name="MaxTextSt1" dataDxfId="417">
      <calculatedColumnFormula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calculatedColumnFormula>
    </tableColumn>
    <tableColumn id="27" name="MaxTextSt2" dataDxfId="416">
      <calculatedColumnFormula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calculatedColumnFormula>
    </tableColumn>
    <tableColumn id="22" name="Stufe" dataDxfId="41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150" name="WeitsprungSkalawert" displayName="WeitsprungSkalawert" ref="BJ18:BJ48" totalsRowShown="0" headerRowDxfId="289" dataDxfId="288">
  <autoFilter ref="BJ18:BJ48"/>
  <tableColumns count="1">
    <tableColumn id="1" name="Skala-Wert" dataDxfId="290">
      <calculatedColumnFormula>IF(BI19="","",IF(OR(WeitsprungResultat[[#This Row],[Resultat]]=Stammdaten!$AX$22,WeitsprungResultat[[#This Row],[Resultat]]=Stammdaten!$AX$19),Stammdaten!$AX$19,IF(ISNA(INDEX(INDIRECT(BI19),MATCH(WeitsprungGerundet[[#This Row],[Rundung]],INDIRECT(BI19),BI$18))),IF(BI$18=-1,LARGE(INDIRECT(BI19),1),SMALL(INDIRECT(BI19),1)),INDEX(INDIRECT(BI19),MATCH(WeitsprungGerundet[[#This Row],[Rundung]],INDIRECT(BI19),BI$18)))))</calculatedColumnFormula>
    </tableColumn>
  </tableColumns>
  <tableStyleInfo name="TableStyleMedium4" showFirstColumn="0" showLastColumn="0" showRowStripes="1" showColumnStripes="0"/>
</table>
</file>

<file path=xl/tables/table210.xml><?xml version="1.0" encoding="utf-8"?>
<table xmlns="http://schemas.openxmlformats.org/spreadsheetml/2006/main" id="20" name="StdAnzeigetext" displayName="StdAnzeigetext" ref="AV1:AV5" totalsRowShown="0">
  <autoFilter ref="AV1:AV5"/>
  <tableColumns count="1">
    <tableColumn id="1" name="StdAnzeigetext"/>
  </tableColumns>
  <tableStyleInfo name="TableStyleMedium2" showFirstColumn="0" showLastColumn="0" showRowStripes="1" showColumnStripes="0"/>
</table>
</file>

<file path=xl/tables/table211.xml><?xml version="1.0" encoding="utf-8"?>
<table xmlns="http://schemas.openxmlformats.org/spreadsheetml/2006/main" id="24" name="StdGruppe" displayName="StdGruppe" ref="AQ1:AQ6" totalsRowShown="0" headerRowDxfId="414" dataDxfId="413">
  <autoFilter ref="AQ1:AQ6"/>
  <tableColumns count="1">
    <tableColumn id="1" name="StdGruppe" dataDxfId="412"/>
  </tableColumns>
  <tableStyleInfo name="TableStyleMedium2" showFirstColumn="0" showLastColumn="0" showRowStripes="1" showColumnStripes="0"/>
</table>
</file>

<file path=xl/tables/table212.xml><?xml version="1.0" encoding="utf-8"?>
<table xmlns="http://schemas.openxmlformats.org/spreadsheetml/2006/main" id="25" name="StdFähigkeit" displayName="StdFähigkeit" ref="AQ9:AQ13" totalsRowShown="0" headerRowDxfId="411" dataDxfId="410">
  <autoFilter ref="AQ9:AQ13"/>
  <tableColumns count="1">
    <tableColumn id="1" name="StdFähigkeit" dataDxfId="409"/>
  </tableColumns>
  <tableStyleInfo name="TableStyleMedium2" showFirstColumn="0" showLastColumn="0" showRowStripes="1" showColumnStripes="0"/>
</table>
</file>

<file path=xl/tables/table213.xml><?xml version="1.0" encoding="utf-8"?>
<table xmlns="http://schemas.openxmlformats.org/spreadsheetml/2006/main" id="26" name="StdBS" displayName="StdBS" ref="AL1:AO7" totalsRowShown="0">
  <autoFilter ref="AL1:AO7"/>
  <tableColumns count="4">
    <tableColumn id="1" name="StdNummer" dataDxfId="408"/>
    <tableColumn id="2" name="StdBS"/>
    <tableColumn id="3" name="Titelanzeige" dataDxfId="407">
      <calculatedColumnFormula>StdBS[[#This Row],[StdNummer]]&amp;"   "&amp;StdBS[[#This Row],[StdBS]]</calculatedColumnFormula>
    </tableColumn>
    <tableColumn id="4" name="AnzahlGeforderteDisziplinen"/>
  </tableColumns>
  <tableStyleInfo name="TableStyleMedium2" showFirstColumn="0" showLastColumn="0" showRowStripes="1" showColumnStripes="0"/>
</table>
</file>

<file path=xl/tables/table214.xml><?xml version="1.0" encoding="utf-8"?>
<table xmlns="http://schemas.openxmlformats.org/spreadsheetml/2006/main" id="27" name="StdFit" displayName="StdFit" ref="AZ11:BB12" totalsRowShown="0">
  <autoFilter ref="AZ11:BB12"/>
  <tableColumns count="3">
    <tableColumn id="1" name="StdFit0"/>
    <tableColumn id="2" name="StdFit1"/>
    <tableColumn id="3" name="StdFit2"/>
  </tableColumns>
  <tableStyleInfo name="TableStyleMedium2" showFirstColumn="0" showLastColumn="0" showRowStripes="1" showColumnStripes="0"/>
</table>
</file>

<file path=xl/tables/table215.xml><?xml version="1.0" encoding="utf-8"?>
<table xmlns="http://schemas.openxmlformats.org/spreadsheetml/2006/main" id="65" name="StdSprint" displayName="StdSprint" ref="AM16:AM18" totalsRowShown="0">
  <autoFilter ref="AM16:AM18"/>
  <tableColumns count="1">
    <tableColumn id="1" name="StdSprint" dataDxfId="406"/>
  </tableColumns>
  <tableStyleInfo name="TableStyleMedium2" showFirstColumn="0" showLastColumn="0" showRowStripes="1" showColumnStripes="0"/>
</table>
</file>

<file path=xl/tables/table216.xml><?xml version="1.0" encoding="utf-8"?>
<table xmlns="http://schemas.openxmlformats.org/spreadsheetml/2006/main" id="66" name="StdAusdauer" displayName="StdAusdauer" ref="AM22:AM24" totalsRowShown="0">
  <autoFilter ref="AM22:AM24"/>
  <tableColumns count="1">
    <tableColumn id="1" name="StdAusdauer">
      <calculatedColumnFormula>$Q$10</calculatedColumnFormula>
    </tableColumn>
  </tableColumns>
  <tableStyleInfo name="TableStyleMedium2" showFirstColumn="0" showLastColumn="0" showRowStripes="1" showColumnStripes="0"/>
</table>
</file>

<file path=xl/tables/table217.xml><?xml version="1.0" encoding="utf-8"?>
<table xmlns="http://schemas.openxmlformats.org/spreadsheetml/2006/main" id="70" name="StdErgebnis" displayName="StdErgebnis" ref="AS13:AS15" totalsRowShown="0">
  <autoFilter ref="AS13:AS15"/>
  <tableColumns count="1">
    <tableColumn id="1" name="StdErgebnis"/>
  </tableColumns>
  <tableStyleInfo name="TableStyleMedium2" showFirstColumn="0" showLastColumn="0" showRowStripes="1" showColumnStripes="0"/>
</table>
</file>

<file path=xl/tables/table218.xml><?xml version="1.0" encoding="utf-8"?>
<table xmlns="http://schemas.openxmlformats.org/spreadsheetml/2006/main" id="19" name="StdFehler" displayName="StdFehler" ref="AZ1:AZ5" totalsRowShown="0">
  <autoFilter ref="AZ1:AZ5"/>
  <tableColumns count="1">
    <tableColumn id="1" name="StdFehler"/>
  </tableColumns>
  <tableStyleInfo name="TableStyleMedium2" showFirstColumn="0" showLastColumn="0" showRowStripes="1" showColumnStripes="0"/>
</table>
</file>

<file path=xl/tables/table219.xml><?xml version="1.0" encoding="utf-8"?>
<table xmlns="http://schemas.openxmlformats.org/spreadsheetml/2006/main" id="92" name="StdSkala" displayName="StdSkala" ref="E1:I5" totalsRowShown="0" headerRowDxfId="405" headerRowBorderDxfId="404" tableBorderDxfId="403" totalsRowBorderDxfId="402">
  <autoFilter ref="E1:I5"/>
  <tableColumns count="5">
    <tableColumn id="1" name="Geschlecht"/>
    <tableColumn id="2" name="Jahr" dataDxfId="401"/>
    <tableColumn id="4" name="StdSkalaCode" dataDxfId="400">
      <calculatedColumnFormula>"_"&amp;MID(StdSkala[[#This Row],[Geschlecht]],1,1)&amp;MID(INDEX(StdJahr[StdJahrText],StdSkala[[#This Row],[Jahr]]),1,1)</calculatedColumnFormula>
    </tableColumn>
    <tableColumn id="3" name="StdSkala" dataDxfId="399">
      <calculatedColumnFormula>MID(StdSkala[[#This Row],[Geschlecht]],1,1)&amp;StdSkala[[#This Row],[Jahr]]</calculatedColumnFormula>
    </tableColumn>
    <tableColumn id="5" name="StdSkalaText" dataDxfId="398">
      <calculatedColumnFormula>StdSkala[[#This Row],[Geschlecht]]&amp;" "&amp;StdSkala[[#This Row],[StdSkala]]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151" name="BallwurfResultat" displayName="BallwurfResultat" ref="BO18:BO48" totalsRowShown="0" headerRowDxfId="287" dataDxfId="30">
  <autoFilter ref="BO18:BO48"/>
  <tableColumns count="1">
    <tableColumn id="1" name="Resultat" dataDxfId="31"/>
  </tableColumns>
  <tableStyleInfo name="TableStyleMedium2" showFirstColumn="0" showLastColumn="0" showRowStripes="1" showColumnStripes="0"/>
</table>
</file>

<file path=xl/tables/table220.xml><?xml version="1.0" encoding="utf-8"?>
<table xmlns="http://schemas.openxmlformats.org/spreadsheetml/2006/main" id="93" name="StdJahr" displayName="StdJahr" ref="E9:F11" totalsRowShown="0" dataDxfId="397">
  <autoFilter ref="E9:F11"/>
  <tableColumns count="2">
    <tableColumn id="1" name="StdJahr" dataDxfId="396"/>
    <tableColumn id="2" name="StdJahrText" dataDxfId="395">
      <calculatedColumnFormula>StdJahr[[#This Row],[StdJahr]]&amp;". OS"</calculatedColumnFormula>
    </tableColumn>
  </tableColumns>
  <tableStyleInfo name="TableStyleMedium2" showFirstColumn="0" showLastColumn="0" showRowStripes="1" showColumnStripes="0"/>
</table>
</file>

<file path=xl/tables/table221.xml><?xml version="1.0" encoding="utf-8"?>
<table xmlns="http://schemas.openxmlformats.org/spreadsheetml/2006/main" id="135" name="StdResultatform" displayName="StdResultatform" ref="BD1:BD14" totalsRowShown="0">
  <autoFilter ref="BD1:BD14"/>
  <tableColumns count="1">
    <tableColumn id="1" name="StdResultatform"/>
  </tableColumns>
  <tableStyleInfo name="TableStyleMedium2" showFirstColumn="0" showLastColumn="0" showRowStripes="1" showColumnStripes="0"/>
</table>
</file>

<file path=xl/tables/table222.xml><?xml version="1.0" encoding="utf-8"?>
<table xmlns="http://schemas.openxmlformats.org/spreadsheetml/2006/main" id="91" name="StdVergleichstyp" displayName="StdVergleichstyp" ref="BB1:BB4" totalsRowShown="0">
  <autoFilter ref="BB1:BB4"/>
  <tableColumns count="1">
    <tableColumn id="1" name="StdVergleichstyp"/>
  </tableColumns>
  <tableStyleInfo name="TableStyleMedium2" showFirstColumn="0" showLastColumn="0" showRowStripes="1" showColumnStripes="0"/>
</table>
</file>

<file path=xl/tables/table223.xml><?xml version="1.0" encoding="utf-8"?>
<table xmlns="http://schemas.openxmlformats.org/spreadsheetml/2006/main" id="87" name="StdMathematisch" displayName="StdMathematisch" ref="BB6:BB8" totalsRowShown="0">
  <autoFilter ref="BB6:BB8"/>
  <tableColumns count="1">
    <tableColumn id="1" name="StdMathematisch"/>
  </tableColumns>
  <tableStyleInfo name="TableStyleMedium2" showFirstColumn="0" showLastColumn="0" showRowStripes="1" showColumnStripes="0"/>
</table>
</file>

<file path=xl/tables/table224.xml><?xml version="1.0" encoding="utf-8"?>
<table xmlns="http://schemas.openxmlformats.org/spreadsheetml/2006/main" id="280" name="Schulgemeinden" displayName="Schulgemeinden" ref="D14:F57" totalsRowShown="0">
  <autoFilter ref="D14:F57"/>
  <tableColumns count="3">
    <tableColumn id="3" name="Position" dataDxfId="394">
      <calculatedColumnFormula>INDEX(INDIRECT($D$13),MATCH(Schulgemeinden[[#This Row],[Kanton]],INDIRECT($F$13),0))</calculatedColumnFormula>
    </tableColumn>
    <tableColumn id="1" name="Schulgemeinde" dataDxfId="393"/>
    <tableColumn id="2" name="Kanton"/>
  </tableColumns>
  <tableStyleInfo name="TableStyleMedium7" showFirstColumn="0" showLastColumn="0" showRowStripes="1" showColumnStripes="0"/>
</table>
</file>

<file path=xl/tables/table225.xml><?xml version="1.0" encoding="utf-8"?>
<table xmlns="http://schemas.openxmlformats.org/spreadsheetml/2006/main" id="281" name="Kantone" displayName="Kantone" ref="H14:I18" totalsRowShown="0">
  <autoFilter ref="H14:I18"/>
  <tableColumns count="2">
    <tableColumn id="1" name="Kantone"/>
    <tableColumn id="2" name="Position">
      <calculatedColumnFormula>ROW(Diplom_Kantone!A1)</calculatedColumnFormula>
    </tableColumn>
  </tableColumns>
  <tableStyleInfo name="TableStyleMedium7" showFirstColumn="0" showLastColumn="0" showRowStripes="1" showColumnStripes="0"/>
</table>
</file>

<file path=xl/tables/table226.xml><?xml version="1.0" encoding="utf-8"?>
<table xmlns="http://schemas.openxmlformats.org/spreadsheetml/2006/main" id="282" name="Medaillen" displayName="Medaillen" ref="H21:I26" totalsRowShown="0">
  <autoFilter ref="H21:I26"/>
  <tableColumns count="2">
    <tableColumn id="1" name="Medaille"/>
    <tableColumn id="2" name="Position"/>
  </tableColumns>
  <tableStyleInfo name="TableStyleMedium7" showFirstColumn="0" showLastColumn="0" showRowStripes="1" showColumnStripes="0"/>
</table>
</file>

<file path=xl/tables/table227.xml><?xml version="1.0" encoding="utf-8"?>
<table xmlns="http://schemas.openxmlformats.org/spreadsheetml/2006/main" id="283" name="Form_Beurt" displayName="Form_Beurt" ref="H29:I33" totalsRowShown="0">
  <autoFilter ref="H29:I33"/>
  <tableColumns count="2">
    <tableColumn id="1" name="Beurteilung"/>
    <tableColumn id="2" name="Position"/>
  </tableColumns>
  <tableStyleInfo name="TableStyleMedium7" showFirstColumn="0" showLastColumn="0" showRowStripes="1" showColumnStripes="0"/>
</table>
</file>

<file path=xl/tables/table228.xml><?xml version="1.0" encoding="utf-8"?>
<table xmlns="http://schemas.openxmlformats.org/spreadsheetml/2006/main" id="286" name="Schuljahre" displayName="Schuljahre" ref="A14:B22" totalsRowShown="0">
  <autoFilter ref="A14:B22"/>
  <tableColumns count="2">
    <tableColumn id="1" name="Schuljahr" dataDxfId="392">
      <calculatedColumnFormula>Schuljahre[[#Headers],[Schuljahr]]&amp;" "&amp;YEAR(TODAY())+(Schuljahre[[#This Row],[Zähler]]-1)&amp;"/"&amp;YEAR(TODAY())+Schuljahre[[#This Row],[Zähler]]</calculatedColumnFormula>
    </tableColumn>
    <tableColumn id="2" name="Zähler"/>
  </tableColumns>
  <tableStyleInfo name="TableStyleMedium7" showFirstColumn="0" showLastColumn="0" showRowStripes="1" showColumnStripes="0"/>
</table>
</file>

<file path=xl/tables/table229.xml><?xml version="1.0" encoding="utf-8"?>
<table xmlns="http://schemas.openxmlformats.org/spreadsheetml/2006/main" id="220" name="Ge" displayName="Ge" ref="D3:D33" totalsRowShown="0" headerRowDxfId="391" dataDxfId="390">
  <autoFilter ref="D3:D33"/>
  <tableColumns count="1">
    <tableColumn id="1" name="Geschl" dataDxfId="389">
      <calculatedColumnFormula>Resultatmappe!E19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152" name="BallwurfNote" displayName="BallwurfNote" ref="BW18:BW48" totalsRowShown="0" headerRowDxfId="285" dataDxfId="284">
  <autoFilter ref="BW18:BW48"/>
  <tableColumns count="1">
    <tableColumn id="1" name="Note" dataDxfId="286">
      <calculatedColumnFormula>IF(OR(BV19="",BallwurfSkalawert[[#This Row],[Skala-Wert]]=Stammdaten!$AX$19),"",INDEX(INDIRECT(BV19),MATCH(BallwurfSkalawert[[#This Row],[Skala-Wert]],INDIRECT(BS19),0)))</calculatedColumnFormula>
    </tableColumn>
  </tableColumns>
  <tableStyleInfo name="TableStyleMedium4" showFirstColumn="0" showLastColumn="0" showRowStripes="1" showColumnStripes="0"/>
</table>
</file>

<file path=xl/tables/table230.xml><?xml version="1.0" encoding="utf-8"?>
<table xmlns="http://schemas.openxmlformats.org/spreadsheetml/2006/main" id="221" name="Df" displayName="Df" ref="F3:F33" totalsRowShown="0" headerRowDxfId="388" dataDxfId="387">
  <autoFilter ref="F3:F33"/>
  <tableColumns count="1">
    <tableColumn id="1" name="Disziplin BS 5" dataDxfId="386">
      <calculatedColumnFormula>Resultatmappe!TH19</calculatedColumnFormula>
    </tableColumn>
  </tableColumns>
  <tableStyleInfo name="TableStyleMedium2" showFirstColumn="0" showLastColumn="0" showRowStripes="1" showColumnStripes="0"/>
</table>
</file>

<file path=xl/tables/table231.xml><?xml version="1.0" encoding="utf-8"?>
<table xmlns="http://schemas.openxmlformats.org/spreadsheetml/2006/main" id="222" name="RSL" displayName="RSL" ref="H3:H33" totalsRowShown="0">
  <autoFilter ref="H3:H33"/>
  <tableColumns count="1">
    <tableColumn id="1" name="60-m-Lauf" dataDxfId="385">
      <calculatedColumnFormula>Resultatmappe!G19</calculatedColumnFormula>
    </tableColumn>
  </tableColumns>
  <tableStyleInfo name="TableStyleMedium2" showFirstColumn="0" showLastColumn="0" showRowStripes="1" showColumnStripes="0"/>
</table>
</file>

<file path=xl/tables/table232.xml><?xml version="1.0" encoding="utf-8"?>
<table xmlns="http://schemas.openxmlformats.org/spreadsheetml/2006/main" id="223" name="RAL" displayName="RAL" ref="J3:J33" totalsRowShown="0">
  <autoFilter ref="J3:J33"/>
  <tableColumns count="1">
    <tableColumn id="1" name="80-m-Lauf" dataDxfId="384">
      <calculatedColumnFormula>Resultatmappe!Q19</calculatedColumnFormula>
    </tableColumn>
  </tableColumns>
  <tableStyleInfo name="TableStyleMedium2" showFirstColumn="0" showLastColumn="0" showRowStripes="1" showColumnStripes="0"/>
</table>
</file>

<file path=xl/tables/table233.xml><?xml version="1.0" encoding="utf-8"?>
<table xmlns="http://schemas.openxmlformats.org/spreadsheetml/2006/main" id="224" name="RZH" displayName="RZH" ref="L3:L33" totalsRowShown="0">
  <autoFilter ref="L3:L33"/>
  <tableColumns count="1">
    <tableColumn id="1" name="12-Min.-Lauf (Halle)" dataDxfId="383">
      <calculatedColumnFormula>Resultatmappe!AA19</calculatedColumnFormula>
    </tableColumn>
  </tableColumns>
  <tableStyleInfo name="TableStyleMedium2" showFirstColumn="0" showLastColumn="0" showRowStripes="1" showColumnStripes="0"/>
</table>
</file>

<file path=xl/tables/table234.xml><?xml version="1.0" encoding="utf-8"?>
<table xmlns="http://schemas.openxmlformats.org/spreadsheetml/2006/main" id="225" name="RZF" displayName="RZF" ref="N3:N33" totalsRowShown="0">
  <autoFilter ref="N3:N33"/>
  <tableColumns count="1">
    <tableColumn id="1" name="12-Min.-Lauf (im Freien)" dataDxfId="382">
      <calculatedColumnFormula>Resultatmappe!AK19</calculatedColumnFormula>
    </tableColumn>
  </tableColumns>
  <tableStyleInfo name="TableStyleMedium2" showFirstColumn="0" showLastColumn="0" showRowStripes="1" showColumnStripes="0"/>
</table>
</file>

<file path=xl/tables/table235.xml><?xml version="1.0" encoding="utf-8"?>
<table xmlns="http://schemas.openxmlformats.org/spreadsheetml/2006/main" id="226" name="RHs" displayName="RHs" ref="P3:P33" totalsRowShown="0">
  <autoFilter ref="P3:P33"/>
  <tableColumns count="1">
    <tableColumn id="1" name="Hochsprung" dataDxfId="381">
      <calculatedColumnFormula>Resultatmappe!AU19</calculatedColumnFormula>
    </tableColumn>
  </tableColumns>
  <tableStyleInfo name="TableStyleMedium2" showFirstColumn="0" showLastColumn="0" showRowStripes="1" showColumnStripes="0"/>
</table>
</file>

<file path=xl/tables/table236.xml><?xml version="1.0" encoding="utf-8"?>
<table xmlns="http://schemas.openxmlformats.org/spreadsheetml/2006/main" id="227" name="RWs" displayName="RWs" ref="R3:R33" totalsRowShown="0">
  <autoFilter ref="R3:R33"/>
  <tableColumns count="1">
    <tableColumn id="1" name="Weitsprung" dataDxfId="380">
      <calculatedColumnFormula>Resultatmappe!BE19</calculatedColumnFormula>
    </tableColumn>
  </tableColumns>
  <tableStyleInfo name="TableStyleMedium2" showFirstColumn="0" showLastColumn="0" showRowStripes="1" showColumnStripes="0"/>
</table>
</file>

<file path=xl/tables/table237.xml><?xml version="1.0" encoding="utf-8"?>
<table xmlns="http://schemas.openxmlformats.org/spreadsheetml/2006/main" id="228" name="RBw" displayName="RBw" ref="T3:T33" totalsRowShown="0">
  <autoFilter ref="T3:T33"/>
  <tableColumns count="1">
    <tableColumn id="1" name="Ballwurf" dataDxfId="379">
      <calculatedColumnFormula>Resultatmappe!BO19</calculatedColumnFormula>
    </tableColumn>
  </tableColumns>
  <tableStyleInfo name="TableStyleMedium2" showFirstColumn="0" showLastColumn="0" showRowStripes="1" showColumnStripes="0"/>
</table>
</file>

<file path=xl/tables/table238.xml><?xml version="1.0" encoding="utf-8"?>
<table xmlns="http://schemas.openxmlformats.org/spreadsheetml/2006/main" id="229" name="RKs" displayName="RKs" ref="V3:V33" totalsRowShown="0">
  <autoFilter ref="V3:V33"/>
  <tableColumns count="1">
    <tableColumn id="1" name="Kugelstossen" dataDxfId="378">
      <calculatedColumnFormula>Resultatmappe!BY19</calculatedColumnFormula>
    </tableColumn>
  </tableColumns>
  <tableStyleInfo name="TableStyleMedium2" showFirstColumn="0" showLastColumn="0" showRowStripes="1" showColumnStripes="0"/>
</table>
</file>

<file path=xl/tables/table239.xml><?xml version="1.0" encoding="utf-8"?>
<table xmlns="http://schemas.openxmlformats.org/spreadsheetml/2006/main" id="230" name="RSw" displayName="RSw" ref="X3:X33" totalsRowShown="0">
  <autoFilter ref="X3:X33"/>
  <tableColumns count="1">
    <tableColumn id="1" name="Speerwurf" dataDxfId="377">
      <calculatedColumnFormula>Resultatmappe!CI19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153" name="BallwurfSkalawert" displayName="BallwurfSkalawert" ref="BT18:BT48" totalsRowShown="0" headerRowDxfId="282" dataDxfId="281">
  <autoFilter ref="BT18:BT48"/>
  <tableColumns count="1">
    <tableColumn id="1" name="Skala-Wert" dataDxfId="283">
      <calculatedColumnFormula>IF(BS19="","",IF(OR(BallwurfResultat[[#This Row],[Resultat]]=Stammdaten!$AX$22,BallwurfResultat[[#This Row],[Resultat]]=Stammdaten!$AX$19),Stammdaten!$AX$19,IF(ISNA(INDEX(INDIRECT(BS19),MATCH(BallwurfGerundet[[#This Row],[Rundung]],INDIRECT(BS19),BS$18))),IF(BS$18=-1,LARGE(INDIRECT(BS19),1),SMALL(INDIRECT(BS19),1)),INDEX(INDIRECT(BS19),MATCH(BallwurfGerundet[[#This Row],[Rundung]],INDIRECT(BS19),BS$18)))))</calculatedColumnFormula>
    </tableColumn>
  </tableColumns>
  <tableStyleInfo name="TableStyleMedium4" showFirstColumn="0" showLastColumn="0" showRowStripes="1" showColumnStripes="0"/>
</table>
</file>

<file path=xl/tables/table240.xml><?xml version="1.0" encoding="utf-8"?>
<table xmlns="http://schemas.openxmlformats.org/spreadsheetml/2006/main" id="231" name="RRk" displayName="RRk" ref="Z3:Z33" totalsRowShown="0">
  <autoFilter ref="Z3:Z33"/>
  <tableColumns count="1">
    <tableColumn id="1" name="Reck" dataDxfId="376">
      <calculatedColumnFormula>Resultatmappe!FE19</calculatedColumnFormula>
    </tableColumn>
  </tableColumns>
  <tableStyleInfo name="TableStyleMedium2" showFirstColumn="0" showLastColumn="0" showRowStripes="1" showColumnStripes="0"/>
</table>
</file>

<file path=xl/tables/table241.xml><?xml version="1.0" encoding="utf-8"?>
<table xmlns="http://schemas.openxmlformats.org/spreadsheetml/2006/main" id="232" name="RBd" displayName="RBd" ref="AB3:AB33" totalsRowShown="0">
  <autoFilter ref="AB3:AB33"/>
  <tableColumns count="1">
    <tableColumn id="1" name="Boden" dataDxfId="375">
      <calculatedColumnFormula>Resultatmappe!FK19</calculatedColumnFormula>
    </tableColumn>
  </tableColumns>
  <tableStyleInfo name="TableStyleMedium2" showFirstColumn="0" showLastColumn="0" showRowStripes="1" showColumnStripes="0"/>
</table>
</file>

<file path=xl/tables/table242.xml><?xml version="1.0" encoding="utf-8"?>
<table xmlns="http://schemas.openxmlformats.org/spreadsheetml/2006/main" id="233" name="RSb" displayName="RSb" ref="AD3:AD33" totalsRowShown="0">
  <autoFilter ref="AD3:AD33"/>
  <tableColumns count="1">
    <tableColumn id="1" name="Stufenbarren" dataDxfId="374">
      <calculatedColumnFormula>Resultatmappe!FQ19</calculatedColumnFormula>
    </tableColumn>
  </tableColumns>
  <tableStyleInfo name="TableStyleMedium2" showFirstColumn="0" showLastColumn="0" showRowStripes="1" showColumnStripes="0"/>
</table>
</file>

<file path=xl/tables/table243.xml><?xml version="1.0" encoding="utf-8"?>
<table xmlns="http://schemas.openxmlformats.org/spreadsheetml/2006/main" id="234" name="RPb" displayName="RPb" ref="AF3:AF33" totalsRowShown="0">
  <autoFilter ref="AF3:AF33"/>
  <tableColumns count="1">
    <tableColumn id="1" name="Parallelbarren" dataDxfId="373">
      <calculatedColumnFormula>Resultatmappe!FW19</calculatedColumnFormula>
    </tableColumn>
  </tableColumns>
  <tableStyleInfo name="TableStyleMedium2" showFirstColumn="0" showLastColumn="0" showRowStripes="1" showColumnStripes="0"/>
</table>
</file>

<file path=xl/tables/table244.xml><?xml version="1.0" encoding="utf-8"?>
<table xmlns="http://schemas.openxmlformats.org/spreadsheetml/2006/main" id="235" name="RSr" displayName="RSr" ref="AH3:AH33" totalsRowShown="0">
  <autoFilter ref="AH3:AH33"/>
  <tableColumns count="1">
    <tableColumn id="1" name="Schaukelringe" dataDxfId="372">
      <calculatedColumnFormula>Resultatmappe!GC19</calculatedColumnFormula>
    </tableColumn>
  </tableColumns>
  <tableStyleInfo name="TableStyleMedium2" showFirstColumn="0" showLastColumn="0" showRowStripes="1" showColumnStripes="0"/>
</table>
</file>

<file path=xl/tables/table245.xml><?xml version="1.0" encoding="utf-8"?>
<table xmlns="http://schemas.openxmlformats.org/spreadsheetml/2006/main" id="236" name="RSp" displayName="RSp" ref="AJ3:AJ33" totalsRowShown="0">
  <autoFilter ref="AJ3:AJ33"/>
  <tableColumns count="1">
    <tableColumn id="1" name="Sprung" dataDxfId="371">
      <calculatedColumnFormula>Resultatmappe!GI19</calculatedColumnFormula>
    </tableColumn>
  </tableColumns>
  <tableStyleInfo name="TableStyleMedium2" showFirstColumn="0" showLastColumn="0" showRowStripes="1" showColumnStripes="0"/>
</table>
</file>

<file path=xl/tables/table246.xml><?xml version="1.0" encoding="utf-8"?>
<table xmlns="http://schemas.openxmlformats.org/spreadsheetml/2006/main" id="237" name="RGS" displayName="RGS" ref="AL3:AL33" totalsRowShown="0">
  <autoFilter ref="AL3:AL33"/>
  <tableColumns count="1">
    <tableColumn id="1" name="Geräte Summe" dataDxfId="370">
      <calculatedColumnFormula>Resultatmappe!IZ19</calculatedColumnFormula>
    </tableColumn>
  </tableColumns>
  <tableStyleInfo name="TableStyleMedium2" showFirstColumn="0" showLastColumn="0" showRowStripes="1" showColumnStripes="0"/>
</table>
</file>

<file path=xl/tables/table247.xml><?xml version="1.0" encoding="utf-8"?>
<table xmlns="http://schemas.openxmlformats.org/spreadsheetml/2006/main" id="238" name="RPk" displayName="RPk" ref="AN3:AN33" totalsRowShown="0">
  <autoFilter ref="AN3:AN33"/>
  <tableColumns count="1">
    <tableColumn id="1" name="Parkour" dataDxfId="369">
      <calculatedColumnFormula>Resultatmappe!JJ19</calculatedColumnFormula>
    </tableColumn>
  </tableColumns>
  <tableStyleInfo name="TableStyleMedium2" showFirstColumn="0" showLastColumn="0" showRowStripes="1" showColumnStripes="0"/>
</table>
</file>

<file path=xl/tables/table248.xml><?xml version="1.0" encoding="utf-8"?>
<table xmlns="http://schemas.openxmlformats.org/spreadsheetml/2006/main" id="239" name="RTz" displayName="RTz" ref="AP3:AP33" totalsRowShown="0">
  <autoFilter ref="AP3:AP33"/>
  <tableColumns count="1">
    <tableColumn id="1" name="Tanzen" dataDxfId="368">
      <calculatedColumnFormula>Resultatmappe!KI19</calculatedColumnFormula>
    </tableColumn>
  </tableColumns>
  <tableStyleInfo name="TableStyleMedium2" showFirstColumn="0" showLastColumn="0" showRowStripes="1" showColumnStripes="0"/>
</table>
</file>

<file path=xl/tables/table249.xml><?xml version="1.0" encoding="utf-8"?>
<table xmlns="http://schemas.openxmlformats.org/spreadsheetml/2006/main" id="240" name="RRs" displayName="RRs" ref="AR3:AR33" totalsRowShown="0">
  <autoFilter ref="AR3:AR33"/>
  <tableColumns count="1">
    <tableColumn id="1" name="Rope-Skipping" dataDxfId="367">
      <calculatedColumnFormula>Resultatmappe!KS19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154" name="KugelstossenResultat" displayName="KugelstossenResultat" ref="BY18:BY48" totalsRowShown="0" headerRowDxfId="280" dataDxfId="28">
  <autoFilter ref="BY18:BY48"/>
  <tableColumns count="1">
    <tableColumn id="1" name="Resultat" dataDxfId="29"/>
  </tableColumns>
  <tableStyleInfo name="TableStyleMedium2" showFirstColumn="0" showLastColumn="0" showRowStripes="1" showColumnStripes="0"/>
</table>
</file>

<file path=xl/tables/table250.xml><?xml version="1.0" encoding="utf-8"?>
<table xmlns="http://schemas.openxmlformats.org/spreadsheetml/2006/main" id="241" name="RAe" displayName="RAe" ref="AT3:AT33" totalsRowShown="0">
  <autoFilter ref="AT3:AT33"/>
  <tableColumns count="1">
    <tableColumn id="1" name="Aerobic" dataDxfId="366">
      <calculatedColumnFormula>Resultatmappe!LC19</calculatedColumnFormula>
    </tableColumn>
  </tableColumns>
  <tableStyleInfo name="TableStyleMedium2" showFirstColumn="0" showLastColumn="0" showRowStripes="1" showColumnStripes="0"/>
</table>
</file>

<file path=xl/tables/table251.xml><?xml version="1.0" encoding="utf-8"?>
<table xmlns="http://schemas.openxmlformats.org/spreadsheetml/2006/main" id="242" name="RBb" displayName="RBb" ref="AV3:AV33" totalsRowShown="0">
  <autoFilter ref="AV3:AV33"/>
  <tableColumns count="1">
    <tableColumn id="1" name="Basketball" dataDxfId="365">
      <calculatedColumnFormula>Resultatmappe!ML19</calculatedColumnFormula>
    </tableColumn>
  </tableColumns>
  <tableStyleInfo name="TableStyleMedium2" showFirstColumn="0" showLastColumn="0" showRowStripes="1" showColumnStripes="0"/>
</table>
</file>

<file path=xl/tables/table252.xml><?xml version="1.0" encoding="utf-8"?>
<table xmlns="http://schemas.openxmlformats.org/spreadsheetml/2006/main" id="243" name="RFb" displayName="RFb" ref="AX3:AX33" totalsRowShown="0">
  <autoFilter ref="AX3:AX33"/>
  <tableColumns count="1">
    <tableColumn id="1" name="Fussball" dataDxfId="364">
      <calculatedColumnFormula>Resultatmappe!MV19</calculatedColumnFormula>
    </tableColumn>
  </tableColumns>
  <tableStyleInfo name="TableStyleMedium2" showFirstColumn="0" showLastColumn="0" showRowStripes="1" showColumnStripes="0"/>
</table>
</file>

<file path=xl/tables/table253.xml><?xml version="1.0" encoding="utf-8"?>
<table xmlns="http://schemas.openxmlformats.org/spreadsheetml/2006/main" id="244" name="RHb" displayName="RHb" ref="AZ3:AZ33" totalsRowShown="0">
  <autoFilter ref="AZ3:AZ33"/>
  <tableColumns count="1">
    <tableColumn id="1" name="Handball" dataDxfId="363">
      <calculatedColumnFormula>Resultatmappe!NF19</calculatedColumnFormula>
    </tableColumn>
  </tableColumns>
  <tableStyleInfo name="TableStyleMedium2" showFirstColumn="0" showLastColumn="0" showRowStripes="1" showColumnStripes="0"/>
</table>
</file>

<file path=xl/tables/table254.xml><?xml version="1.0" encoding="utf-8"?>
<table xmlns="http://schemas.openxmlformats.org/spreadsheetml/2006/main" id="245" name="RUh" displayName="RUh" ref="BB3:BB33" totalsRowShown="0">
  <autoFilter ref="BB3:BB33"/>
  <tableColumns count="1">
    <tableColumn id="1" name="Unihockey" dataDxfId="362">
      <calculatedColumnFormula>Resultatmappe!NP19</calculatedColumnFormula>
    </tableColumn>
  </tableColumns>
  <tableStyleInfo name="TableStyleMedium2" showFirstColumn="0" showLastColumn="0" showRowStripes="1" showColumnStripes="0"/>
</table>
</file>

<file path=xl/tables/table255.xml><?xml version="1.0" encoding="utf-8"?>
<table xmlns="http://schemas.openxmlformats.org/spreadsheetml/2006/main" id="246" name="RVb" displayName="RVb" ref="BD3:BD33" totalsRowShown="0">
  <autoFilter ref="BD3:BD33"/>
  <tableColumns count="1">
    <tableColumn id="1" name="Volleyball" dataDxfId="361">
      <calculatedColumnFormula>Resultatmappe!NZ19</calculatedColumnFormula>
    </tableColumn>
  </tableColumns>
  <tableStyleInfo name="TableStyleMedium2" showFirstColumn="0" showLastColumn="0" showRowStripes="1" showColumnStripes="0"/>
</table>
</file>

<file path=xl/tables/table256.xml><?xml version="1.0" encoding="utf-8"?>
<table xmlns="http://schemas.openxmlformats.org/spreadsheetml/2006/main" id="247" name="RBf" displayName="RBf" ref="BF3:BF33" totalsRowShown="0">
  <autoFilter ref="BF3:BF33"/>
  <tableColumns count="1">
    <tableColumn id="1" name="BS 5" dataDxfId="360">
      <calculatedColumnFormula>Resultatmappe!TK19</calculatedColumnFormula>
    </tableColumn>
  </tableColumns>
  <tableStyleInfo name="TableStyleMedium2" showFirstColumn="0" showLastColumn="0" showRowStripes="1" showColumnStripes="0"/>
</table>
</file>

<file path=xl/tables/table257.xml><?xml version="1.0" encoding="utf-8"?>
<table xmlns="http://schemas.openxmlformats.org/spreadsheetml/2006/main" id="248" name="RSc" displayName="RSc" ref="BH3:BH33" totalsRowShown="0">
  <autoFilter ref="BH3:BH33"/>
  <tableColumns count="1">
    <tableColumn id="1" name="Schwimmen" dataDxfId="359">
      <calculatedColumnFormula>Resultatmappe!TM19</calculatedColumnFormula>
    </tableColumn>
  </tableColumns>
  <tableStyleInfo name="TableStyleMedium2" showFirstColumn="0" showLastColumn="0" showRowStripes="1" showColumnStripes="0"/>
</table>
</file>

<file path=xl/tables/table258.xml><?xml version="1.0" encoding="utf-8"?>
<table xmlns="http://schemas.openxmlformats.org/spreadsheetml/2006/main" id="249" name="RBg" displayName="RBg" ref="BJ3:BJ33" totalsRowShown="0">
  <autoFilter ref="BJ3:BJ33"/>
  <tableColumns count="1">
    <tableColumn id="1" name="Beweglichkeit" dataDxfId="358">
      <calculatedColumnFormula>Resultatmappe!UH19</calculatedColumnFormula>
    </tableColumn>
  </tableColumns>
  <tableStyleInfo name="TableStyleMedium2" showFirstColumn="0" showLastColumn="0" showRowStripes="1" showColumnStripes="0"/>
</table>
</file>

<file path=xl/tables/table259.xml><?xml version="1.0" encoding="utf-8"?>
<table xmlns="http://schemas.openxmlformats.org/spreadsheetml/2006/main" id="250" name="RRu" displayName="RRu" ref="BL3:BL33" totalsRowShown="0">
  <autoFilter ref="BL3:BL33"/>
  <tableColumns count="1">
    <tableColumn id="1" name="Rumpfkraft" dataDxfId="357">
      <calculatedColumnFormula>Resultatmappe!UQ19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id="155" name="KugelstossenNote" displayName="KugelstossenNote" ref="CG18:CG48" totalsRowShown="0" headerRowDxfId="278" dataDxfId="277">
  <autoFilter ref="CG18:CG48"/>
  <tableColumns count="1">
    <tableColumn id="1" name="Note" dataDxfId="279">
      <calculatedColumnFormula>IF(OR(CF19="",KugelstossenSkalawert[[#This Row],[Skala-Wert]]=Stammdaten!$AX$19),"",INDEX(INDIRECT(CF19),MATCH(KugelstossenSkalawert[[#This Row],[Skala-Wert]],INDIRECT(CC19),0)))</calculatedColumnFormula>
    </tableColumn>
  </tableColumns>
  <tableStyleInfo name="TableStyleMedium4" showFirstColumn="0" showLastColumn="0" showRowStripes="1" showColumnStripes="0"/>
</table>
</file>

<file path=xl/tables/table260.xml><?xml version="1.0" encoding="utf-8"?>
<table xmlns="http://schemas.openxmlformats.org/spreadsheetml/2006/main" id="251" name="RKp" displayName="RKp" ref="BN3:BN33" totalsRowShown="0">
  <autoFilter ref="BN3:BN33"/>
  <tableColumns count="1">
    <tableColumn id="1" name="Konditionsparcours" dataDxfId="356">
      <calculatedColumnFormula>Resultatmappe!VL19</calculatedColumnFormula>
    </tableColumn>
  </tableColumns>
  <tableStyleInfo name="TableStyleMedium2" showFirstColumn="0" showLastColumn="0" showRowStripes="1" showColumnStripes="0"/>
</table>
</file>

<file path=xl/tables/table261.xml><?xml version="1.0" encoding="utf-8"?>
<table xmlns="http://schemas.openxmlformats.org/spreadsheetml/2006/main" id="161" name="NSL" displayName="NSL" ref="H35:H65" totalsRowShown="0">
  <autoFilter ref="H35:H65"/>
  <tableColumns count="1">
    <tableColumn id="1" name="N_60-m-Lauf" dataDxfId="355">
      <calculatedColumnFormula>Resultatmappe!O19</calculatedColumnFormula>
    </tableColumn>
  </tableColumns>
  <tableStyleInfo name="TableStyleMedium4" showFirstColumn="0" showLastColumn="0" showRowStripes="1" showColumnStripes="0"/>
</table>
</file>

<file path=xl/tables/table262.xml><?xml version="1.0" encoding="utf-8"?>
<table xmlns="http://schemas.openxmlformats.org/spreadsheetml/2006/main" id="219" name="NAL" displayName="NAL" ref="J35:J65" totalsRowShown="0">
  <autoFilter ref="J35:J65"/>
  <tableColumns count="1">
    <tableColumn id="1" name="N_80-m-Lauf" dataDxfId="354">
      <calculatedColumnFormula>Resultatmappe!Y19</calculatedColumnFormula>
    </tableColumn>
  </tableColumns>
  <tableStyleInfo name="TableStyleMedium4" showFirstColumn="0" showLastColumn="0" showRowStripes="1" showColumnStripes="0"/>
</table>
</file>

<file path=xl/tables/table263.xml><?xml version="1.0" encoding="utf-8"?>
<table xmlns="http://schemas.openxmlformats.org/spreadsheetml/2006/main" id="252" name="NZH" displayName="NZH" ref="L35:L65" totalsRowShown="0">
  <autoFilter ref="L35:L65"/>
  <tableColumns count="1">
    <tableColumn id="1" name="N_12-Min.-Lauf (Halle)" dataDxfId="353">
      <calculatedColumnFormula>Resultatmappe!AI19</calculatedColumnFormula>
    </tableColumn>
  </tableColumns>
  <tableStyleInfo name="TableStyleMedium4" showFirstColumn="0" showLastColumn="0" showRowStripes="1" showColumnStripes="0"/>
</table>
</file>

<file path=xl/tables/table264.xml><?xml version="1.0" encoding="utf-8"?>
<table xmlns="http://schemas.openxmlformats.org/spreadsheetml/2006/main" id="253" name="NZF" displayName="NZF" ref="N35:N65" totalsRowShown="0">
  <autoFilter ref="N35:N65"/>
  <tableColumns count="1">
    <tableColumn id="1" name="N_12-Min.-Lauf (im Freien)" dataDxfId="352">
      <calculatedColumnFormula>Resultatmappe!AS19</calculatedColumnFormula>
    </tableColumn>
  </tableColumns>
  <tableStyleInfo name="TableStyleMedium4" showFirstColumn="0" showLastColumn="0" showRowStripes="1" showColumnStripes="0"/>
</table>
</file>

<file path=xl/tables/table265.xml><?xml version="1.0" encoding="utf-8"?>
<table xmlns="http://schemas.openxmlformats.org/spreadsheetml/2006/main" id="254" name="NHs" displayName="NHs" ref="P35:P65" totalsRowShown="0">
  <autoFilter ref="P35:P65"/>
  <tableColumns count="1">
    <tableColumn id="1" name="N_Hochsprung" dataDxfId="351">
      <calculatedColumnFormula>Resultatmappe!BC19</calculatedColumnFormula>
    </tableColumn>
  </tableColumns>
  <tableStyleInfo name="TableStyleMedium4" showFirstColumn="0" showLastColumn="0" showRowStripes="1" showColumnStripes="0"/>
</table>
</file>

<file path=xl/tables/table266.xml><?xml version="1.0" encoding="utf-8"?>
<table xmlns="http://schemas.openxmlformats.org/spreadsheetml/2006/main" id="255" name="NWs" displayName="NWs" ref="R35:R65" totalsRowShown="0">
  <autoFilter ref="R35:R65"/>
  <tableColumns count="1">
    <tableColumn id="1" name="N_Weitsprung" dataDxfId="350">
      <calculatedColumnFormula>Resultatmappe!BM19</calculatedColumnFormula>
    </tableColumn>
  </tableColumns>
  <tableStyleInfo name="TableStyleMedium4" showFirstColumn="0" showLastColumn="0" showRowStripes="1" showColumnStripes="0"/>
</table>
</file>

<file path=xl/tables/table267.xml><?xml version="1.0" encoding="utf-8"?>
<table xmlns="http://schemas.openxmlformats.org/spreadsheetml/2006/main" id="256" name="NBw" displayName="NBw" ref="T35:T65" totalsRowShown="0">
  <autoFilter ref="T35:T65"/>
  <tableColumns count="1">
    <tableColumn id="1" name="N_Ballwurf" dataDxfId="349">
      <calculatedColumnFormula>Resultatmappe!BW19</calculatedColumnFormula>
    </tableColumn>
  </tableColumns>
  <tableStyleInfo name="TableStyleMedium4" showFirstColumn="0" showLastColumn="0" showRowStripes="1" showColumnStripes="0"/>
</table>
</file>

<file path=xl/tables/table268.xml><?xml version="1.0" encoding="utf-8"?>
<table xmlns="http://schemas.openxmlformats.org/spreadsheetml/2006/main" id="257" name="NKs" displayName="NKs" ref="V35:V65" totalsRowShown="0">
  <autoFilter ref="V35:V65"/>
  <tableColumns count="1">
    <tableColumn id="1" name="N_Kugelstossen" dataDxfId="348">
      <calculatedColumnFormula>Resultatmappe!CG19</calculatedColumnFormula>
    </tableColumn>
  </tableColumns>
  <tableStyleInfo name="TableStyleMedium4" showFirstColumn="0" showLastColumn="0" showRowStripes="1" showColumnStripes="0"/>
</table>
</file>

<file path=xl/tables/table269.xml><?xml version="1.0" encoding="utf-8"?>
<table xmlns="http://schemas.openxmlformats.org/spreadsheetml/2006/main" id="258" name="NSw" displayName="NSw" ref="X35:X65" totalsRowShown="0">
  <autoFilter ref="X35:X65"/>
  <tableColumns count="1">
    <tableColumn id="1" name="N_Speerwurf" dataDxfId="347">
      <calculatedColumnFormula>Resultatmappe!CQ19</calculatedColumnFormula>
    </tableColumn>
  </tableColumns>
  <tableStyleInfo name="TableStyleMedium4" showFirstColumn="0" showLastColumn="0" showRowStripes="1" showColumnStripes="0"/>
</table>
</file>

<file path=xl/tables/table27.xml><?xml version="1.0" encoding="utf-8"?>
<table xmlns="http://schemas.openxmlformats.org/spreadsheetml/2006/main" id="156" name="KugelstossenSkalawert" displayName="KugelstossenSkalawert" ref="CD18:CD48" totalsRowShown="0" headerRowDxfId="275" dataDxfId="274">
  <autoFilter ref="CD18:CD48"/>
  <tableColumns count="1">
    <tableColumn id="1" name="Skala-Wert" dataDxfId="276">
      <calculatedColumnFormula>IF(CC19="","",IF(OR(KugelstossenResultat[[#This Row],[Resultat]]=Stammdaten!$AX$22,KugelstossenResultat[[#This Row],[Resultat]]=Stammdaten!$AX$19),Stammdaten!$AX$19,IF(ISNA(INDEX(INDIRECT(CC19),MATCH(KugelstossenGerundet[[#This Row],[Rundung]],INDIRECT(CC19),CC$18))),IF(CC$18=-1,LARGE(INDIRECT(CC19),1),SMALL(INDIRECT(CC19),1)),INDEX(INDIRECT(CC19),MATCH(KugelstossenGerundet[[#This Row],[Rundung]],INDIRECT(CC19),CC$18)))))</calculatedColumnFormula>
    </tableColumn>
  </tableColumns>
  <tableStyleInfo name="TableStyleMedium4" showFirstColumn="0" showLastColumn="0" showRowStripes="1" showColumnStripes="0"/>
</table>
</file>

<file path=xl/tables/table270.xml><?xml version="1.0" encoding="utf-8"?>
<table xmlns="http://schemas.openxmlformats.org/spreadsheetml/2006/main" id="259" name="NRk" displayName="NRk" ref="Z35:Z65" totalsRowShown="0">
  <autoFilter ref="Z35:Z65"/>
  <tableColumns count="1">
    <tableColumn id="1" name="N_Reck"/>
  </tableColumns>
  <tableStyleInfo name="TableStyleMedium4" showFirstColumn="0" showLastColumn="0" showRowStripes="1" showColumnStripes="0"/>
</table>
</file>

<file path=xl/tables/table271.xml><?xml version="1.0" encoding="utf-8"?>
<table xmlns="http://schemas.openxmlformats.org/spreadsheetml/2006/main" id="260" name="NBd" displayName="NBd" ref="AB35:AB65" totalsRowShown="0">
  <autoFilter ref="AB35:AB65"/>
  <tableColumns count="1">
    <tableColumn id="1" name="N_Boden"/>
  </tableColumns>
  <tableStyleInfo name="TableStyleMedium4" showFirstColumn="0" showLastColumn="0" showRowStripes="1" showColumnStripes="0"/>
</table>
</file>

<file path=xl/tables/table272.xml><?xml version="1.0" encoding="utf-8"?>
<table xmlns="http://schemas.openxmlformats.org/spreadsheetml/2006/main" id="261" name="NSb" displayName="NSb" ref="AD35:AD65" totalsRowShown="0">
  <autoFilter ref="AD35:AD65"/>
  <tableColumns count="1">
    <tableColumn id="1" name="N_Stufenbarren"/>
  </tableColumns>
  <tableStyleInfo name="TableStyleMedium4" showFirstColumn="0" showLastColumn="0" showRowStripes="1" showColumnStripes="0"/>
</table>
</file>

<file path=xl/tables/table273.xml><?xml version="1.0" encoding="utf-8"?>
<table xmlns="http://schemas.openxmlformats.org/spreadsheetml/2006/main" id="262" name="NPb" displayName="NPb" ref="AF35:AF65" totalsRowShown="0">
  <autoFilter ref="AF35:AF65"/>
  <tableColumns count="1">
    <tableColumn id="1" name="N_Parallelbarren"/>
  </tableColumns>
  <tableStyleInfo name="TableStyleMedium4" showFirstColumn="0" showLastColumn="0" showRowStripes="1" showColumnStripes="0"/>
</table>
</file>

<file path=xl/tables/table274.xml><?xml version="1.0" encoding="utf-8"?>
<table xmlns="http://schemas.openxmlformats.org/spreadsheetml/2006/main" id="263" name="NSr" displayName="NSr" ref="AH35:AH65" totalsRowShown="0">
  <autoFilter ref="AH35:AH65"/>
  <tableColumns count="1">
    <tableColumn id="1" name="N_Schaukelringe"/>
  </tableColumns>
  <tableStyleInfo name="TableStyleMedium4" showFirstColumn="0" showLastColumn="0" showRowStripes="1" showColumnStripes="0"/>
</table>
</file>

<file path=xl/tables/table275.xml><?xml version="1.0" encoding="utf-8"?>
<table xmlns="http://schemas.openxmlformats.org/spreadsheetml/2006/main" id="264" name="NSp" displayName="NSp" ref="AJ35:AJ65" totalsRowShown="0">
  <autoFilter ref="AJ35:AJ65"/>
  <tableColumns count="1">
    <tableColumn id="1" name="N_Sprung"/>
  </tableColumns>
  <tableStyleInfo name="TableStyleMedium4" showFirstColumn="0" showLastColumn="0" showRowStripes="1" showColumnStripes="0"/>
</table>
</file>

<file path=xl/tables/table276.xml><?xml version="1.0" encoding="utf-8"?>
<table xmlns="http://schemas.openxmlformats.org/spreadsheetml/2006/main" id="265" name="NGS" displayName="NGS" ref="AL35:AL65" totalsRowShown="0">
  <autoFilter ref="AL35:AL65"/>
  <tableColumns count="1">
    <tableColumn id="1" name="N_Geräte Summe" dataDxfId="346">
      <calculatedColumnFormula>Resultatmappe!JH19</calculatedColumnFormula>
    </tableColumn>
  </tableColumns>
  <tableStyleInfo name="TableStyleMedium4" showFirstColumn="0" showLastColumn="0" showRowStripes="1" showColumnStripes="0"/>
</table>
</file>

<file path=xl/tables/table277.xml><?xml version="1.0" encoding="utf-8"?>
<table xmlns="http://schemas.openxmlformats.org/spreadsheetml/2006/main" id="266" name="NPk" displayName="NPk" ref="AN35:AN65" totalsRowShown="0">
  <autoFilter ref="AN35:AN65"/>
  <tableColumns count="1">
    <tableColumn id="1" name="N_Parkour" dataDxfId="345">
      <calculatedColumnFormula>Resultatmappe!JR19</calculatedColumnFormula>
    </tableColumn>
  </tableColumns>
  <tableStyleInfo name="TableStyleMedium4" showFirstColumn="0" showLastColumn="0" showRowStripes="1" showColumnStripes="0"/>
</table>
</file>

<file path=xl/tables/table278.xml><?xml version="1.0" encoding="utf-8"?>
<table xmlns="http://schemas.openxmlformats.org/spreadsheetml/2006/main" id="267" name="NTz" displayName="NTz" ref="AP35:AP65" totalsRowShown="0">
  <autoFilter ref="AP35:AP65"/>
  <tableColumns count="1">
    <tableColumn id="1" name="N_Tanzen" dataDxfId="344">
      <calculatedColumnFormula>Resultatmappe!KQ19</calculatedColumnFormula>
    </tableColumn>
  </tableColumns>
  <tableStyleInfo name="TableStyleMedium4" showFirstColumn="0" showLastColumn="0" showRowStripes="1" showColumnStripes="0"/>
</table>
</file>

<file path=xl/tables/table279.xml><?xml version="1.0" encoding="utf-8"?>
<table xmlns="http://schemas.openxmlformats.org/spreadsheetml/2006/main" id="268" name="NRs" displayName="NRs" ref="AR35:AR65" totalsRowShown="0">
  <autoFilter ref="AR35:AR65"/>
  <tableColumns count="1">
    <tableColumn id="1" name="N_Rope-Skipping" dataDxfId="343">
      <calculatedColumnFormula>Resultatmappe!LA19</calculatedColumnFormula>
    </tableColumn>
  </tableColumns>
  <tableStyleInfo name="TableStyleMedium4" showFirstColumn="0" showLastColumn="0" showRowStripes="1" showColumnStripes="0"/>
</table>
</file>

<file path=xl/tables/table28.xml><?xml version="1.0" encoding="utf-8"?>
<table xmlns="http://schemas.openxmlformats.org/spreadsheetml/2006/main" id="157" name="SpeerwurfResultat" displayName="SpeerwurfResultat" ref="CI18:CI48" totalsRowShown="0" headerRowDxfId="273" dataDxfId="26">
  <autoFilter ref="CI18:CI48"/>
  <tableColumns count="1">
    <tableColumn id="1" name="Resultat" dataDxfId="27"/>
  </tableColumns>
  <tableStyleInfo name="TableStyleMedium2" showFirstColumn="0" showLastColumn="0" showRowStripes="1" showColumnStripes="0"/>
</table>
</file>

<file path=xl/tables/table280.xml><?xml version="1.0" encoding="utf-8"?>
<table xmlns="http://schemas.openxmlformats.org/spreadsheetml/2006/main" id="269" name="NAe" displayName="NAe" ref="AT35:AT65" totalsRowShown="0">
  <autoFilter ref="AT35:AT65"/>
  <tableColumns count="1">
    <tableColumn id="1" name="N_Aerobic" dataDxfId="342">
      <calculatedColumnFormula>Resultatmappe!LK19</calculatedColumnFormula>
    </tableColumn>
  </tableColumns>
  <tableStyleInfo name="TableStyleMedium4" showFirstColumn="0" showLastColumn="0" showRowStripes="1" showColumnStripes="0"/>
</table>
</file>

<file path=xl/tables/table281.xml><?xml version="1.0" encoding="utf-8"?>
<table xmlns="http://schemas.openxmlformats.org/spreadsheetml/2006/main" id="270" name="NBb" displayName="NBb" ref="AV35:AV65" totalsRowShown="0">
  <autoFilter ref="AV35:AV65"/>
  <tableColumns count="1">
    <tableColumn id="1" name="N_Basketball" dataDxfId="341">
      <calculatedColumnFormula>Resultatmappe!MT19</calculatedColumnFormula>
    </tableColumn>
  </tableColumns>
  <tableStyleInfo name="TableStyleMedium4" showFirstColumn="0" showLastColumn="0" showRowStripes="1" showColumnStripes="0"/>
</table>
</file>

<file path=xl/tables/table282.xml><?xml version="1.0" encoding="utf-8"?>
<table xmlns="http://schemas.openxmlformats.org/spreadsheetml/2006/main" id="271" name="NFb" displayName="NFb" ref="AX35:AX65" totalsRowShown="0">
  <autoFilter ref="AX35:AX65"/>
  <tableColumns count="1">
    <tableColumn id="1" name="N_Fussball" dataDxfId="340">
      <calculatedColumnFormula>Resultatmappe!ND19</calculatedColumnFormula>
    </tableColumn>
  </tableColumns>
  <tableStyleInfo name="TableStyleMedium4" showFirstColumn="0" showLastColumn="0" showRowStripes="1" showColumnStripes="0"/>
</table>
</file>

<file path=xl/tables/table283.xml><?xml version="1.0" encoding="utf-8"?>
<table xmlns="http://schemas.openxmlformats.org/spreadsheetml/2006/main" id="272" name="NHb" displayName="NHb" ref="AZ35:AZ65" totalsRowShown="0">
  <autoFilter ref="AZ35:AZ65"/>
  <tableColumns count="1">
    <tableColumn id="1" name="N_Handball" dataDxfId="339">
      <calculatedColumnFormula>Resultatmappe!NN19</calculatedColumnFormula>
    </tableColumn>
  </tableColumns>
  <tableStyleInfo name="TableStyleMedium4" showFirstColumn="0" showLastColumn="0" showRowStripes="1" showColumnStripes="0"/>
</table>
</file>

<file path=xl/tables/table284.xml><?xml version="1.0" encoding="utf-8"?>
<table xmlns="http://schemas.openxmlformats.org/spreadsheetml/2006/main" id="273" name="NUh" displayName="NUh" ref="BB35:BB65" totalsRowShown="0">
  <autoFilter ref="BB35:BB65"/>
  <tableColumns count="1">
    <tableColumn id="1" name="N_Unihockey" dataDxfId="338">
      <calculatedColumnFormula>Resultatmappe!NX19</calculatedColumnFormula>
    </tableColumn>
  </tableColumns>
  <tableStyleInfo name="TableStyleMedium4" showFirstColumn="0" showLastColumn="0" showRowStripes="1" showColumnStripes="0"/>
</table>
</file>

<file path=xl/tables/table285.xml><?xml version="1.0" encoding="utf-8"?>
<table xmlns="http://schemas.openxmlformats.org/spreadsheetml/2006/main" id="274" name="NVb" displayName="NVb" ref="BD35:BD65" totalsRowShown="0">
  <autoFilter ref="BD35:BD65"/>
  <tableColumns count="1">
    <tableColumn id="1" name="N_Volleyball" dataDxfId="337">
      <calculatedColumnFormula>Resultatmappe!OH19</calculatedColumnFormula>
    </tableColumn>
  </tableColumns>
  <tableStyleInfo name="TableStyleMedium4" showFirstColumn="0" showLastColumn="0" showRowStripes="1" showColumnStripes="0"/>
</table>
</file>

<file path=xl/tables/table286.xml><?xml version="1.0" encoding="utf-8"?>
<table xmlns="http://schemas.openxmlformats.org/spreadsheetml/2006/main" id="275" name="NBf" displayName="NBf" ref="BF35:BF65" totalsRowShown="0">
  <autoFilter ref="BF35:BF65"/>
  <tableColumns count="1">
    <tableColumn id="1" name="N_BS 5"/>
  </tableColumns>
  <tableStyleInfo name="TableStyleMedium4" showFirstColumn="0" showLastColumn="0" showRowStripes="1" showColumnStripes="0"/>
</table>
</file>

<file path=xl/tables/table287.xml><?xml version="1.0" encoding="utf-8"?>
<table xmlns="http://schemas.openxmlformats.org/spreadsheetml/2006/main" id="276" name="NSc" displayName="NSc" ref="BH35:BH65" totalsRowShown="0">
  <autoFilter ref="BH35:BH65"/>
  <tableColumns count="1">
    <tableColumn id="1" name="N_Schwimmen" dataDxfId="336">
      <calculatedColumnFormula>Resultatmappe!TT19</calculatedColumnFormula>
    </tableColumn>
  </tableColumns>
  <tableStyleInfo name="TableStyleMedium4" showFirstColumn="0" showLastColumn="0" showRowStripes="1" showColumnStripes="0"/>
</table>
</file>

<file path=xl/tables/table288.xml><?xml version="1.0" encoding="utf-8"?>
<table xmlns="http://schemas.openxmlformats.org/spreadsheetml/2006/main" id="277" name="NBg" displayName="NBg" ref="BJ35:BJ65" totalsRowShown="0">
  <autoFilter ref="BJ35:BJ65"/>
  <tableColumns count="1">
    <tableColumn id="1" name="N_Beweglichkeit" dataDxfId="335">
      <calculatedColumnFormula>Resultatmappe!UO19</calculatedColumnFormula>
    </tableColumn>
  </tableColumns>
  <tableStyleInfo name="TableStyleMedium4" showFirstColumn="0" showLastColumn="0" showRowStripes="1" showColumnStripes="0"/>
</table>
</file>

<file path=xl/tables/table289.xml><?xml version="1.0" encoding="utf-8"?>
<table xmlns="http://schemas.openxmlformats.org/spreadsheetml/2006/main" id="278" name="NRu" displayName="NRu" ref="BL35:BL65" totalsRowShown="0">
  <autoFilter ref="BL35:BL65"/>
  <tableColumns count="1">
    <tableColumn id="1" name="N_Rumpfkraft" dataDxfId="334">
      <calculatedColumnFormula>Resultatmappe!UX19</calculatedColumnFormula>
    </tableColumn>
  </tableColumns>
  <tableStyleInfo name="TableStyleMedium4" showFirstColumn="0" showLastColumn="0" showRowStripes="1" showColumnStripes="0"/>
</table>
</file>

<file path=xl/tables/table29.xml><?xml version="1.0" encoding="utf-8"?>
<table xmlns="http://schemas.openxmlformats.org/spreadsheetml/2006/main" id="158" name="SpeerwurfNote" displayName="SpeerwurfNote" ref="CQ18:CQ48" totalsRowShown="0" headerRowDxfId="271" dataDxfId="270">
  <autoFilter ref="CQ18:CQ48"/>
  <tableColumns count="1">
    <tableColumn id="1" name="Note" dataDxfId="272">
      <calculatedColumnFormula>IF(OR(CP19="",SpeerwurfSkalawert[[#This Row],[Skala-Wert]]=Stammdaten!$AX$19),"",INDEX(INDIRECT(CP19),MATCH(SpeerwurfSkalawert[[#This Row],[Skala-Wert]],INDIRECT(CM19),0)))</calculatedColumnFormula>
    </tableColumn>
  </tableColumns>
  <tableStyleInfo name="TableStyleMedium4" showFirstColumn="0" showLastColumn="0" showRowStripes="1" showColumnStripes="0"/>
</table>
</file>

<file path=xl/tables/table290.xml><?xml version="1.0" encoding="utf-8"?>
<table xmlns="http://schemas.openxmlformats.org/spreadsheetml/2006/main" id="279" name="NKp" displayName="NKp" ref="BN35:BN65" totalsRowShown="0">
  <autoFilter ref="BN35:BN65"/>
  <tableColumns count="1">
    <tableColumn id="1" name="N_Konditionsparcours" dataDxfId="333">
      <calculatedColumnFormula>Resultatmappe!VT19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id="83" name="GleitenStatus" displayName="GleitenStatus" ref="TK18:TK48" totalsRowShown="0" headerRowDxfId="330" dataDxfId="52">
  <autoFilter ref="TK18:TK48"/>
  <tableColumns count="1">
    <tableColumn id="1" name="Status" dataDxfId="53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159" name="SpeerwurfSkalawert" displayName="SpeerwurfSkalawert" ref="CN18:CN48" totalsRowShown="0" headerRowDxfId="268" dataDxfId="267">
  <autoFilter ref="CN18:CN48"/>
  <tableColumns count="1">
    <tableColumn id="1" name="Skala-Wert" dataDxfId="269">
      <calculatedColumnFormula>IF(CM19="","",IF(OR(SpeerwurfResultat[[#This Row],[Resultat]]=Stammdaten!$AX$22,SpeerwurfResultat[[#This Row],[Resultat]]=Stammdaten!$AX$19),Stammdaten!$AX$19,IF(ISNA(INDEX(INDIRECT(CM19),MATCH(SpeerwurfGerundet[[#This Row],[Rundung]],INDIRECT(CM19),CM$18))),IF(CM$18=-1,LARGE(INDIRECT(CM19),1),SMALL(INDIRECT(CM19),1)),INDEX(INDIRECT(CM19),MATCH(SpeerwurfGerundet[[#This Row],[Rundung]],INDIRECT(CM19),CM$18)))))</calculatedColumnFormula>
    </tableColumn>
  </tableColumns>
  <tableStyleInfo name="TableStyleMedium4" showFirstColumn="0" showLastColumn="0" showRowStripes="1" showColumnStripes="0"/>
</table>
</file>

<file path=xl/tables/table31.xml><?xml version="1.0" encoding="utf-8"?>
<table xmlns="http://schemas.openxmlformats.org/spreadsheetml/2006/main" id="160" name="ReckResultat" displayName="ReckResultat" ref="FE18:FE48" totalsRowShown="0" headerRowDxfId="266" dataDxfId="24">
  <autoFilter ref="FE18:FE48"/>
  <tableColumns count="1">
    <tableColumn id="1" name="Resultat" dataDxfId="2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163" name="BodenResultat" displayName="BodenResultat" ref="FK18:FK48" totalsRowShown="0" headerRowDxfId="264" dataDxfId="263">
  <autoFilter ref="FK18:FK48"/>
  <tableColumns count="1">
    <tableColumn id="1" name="Resultat" dataDxfId="265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166" name="StufenbarrenResultat" displayName="StufenbarrenResultat" ref="FQ18:FQ48" totalsRowShown="0" headerRowDxfId="262" dataDxfId="22">
  <autoFilter ref="FQ18:FQ48"/>
  <tableColumns count="1">
    <tableColumn id="1" name="Resultat" dataDxfId="23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169" name="ParallelbarrenResultat" displayName="ParallelbarrenResultat" ref="FW18:FW48" totalsRowShown="0" headerRowDxfId="261" dataDxfId="20">
  <autoFilter ref="FW18:FW48"/>
  <tableColumns count="1">
    <tableColumn id="1" name="Resultat" dataDxfId="21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id="172" name="SchaukelringeResultat" displayName="SchaukelringeResultat" ref="GC18:GC48" totalsRowShown="0" headerRowDxfId="260" dataDxfId="18">
  <autoFilter ref="GC18:GC48"/>
  <tableColumns count="1">
    <tableColumn id="1" name="Resultat" dataDxfId="19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175" name="SprungResultat" displayName="SprungResultat" ref="GI18:GI48" totalsRowShown="0" headerRowDxfId="259" dataDxfId="16">
  <autoFilter ref="GI18:GI48"/>
  <tableColumns count="1">
    <tableColumn id="1" name="Resultat" dataDxfId="17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72" name="ParkourResultat" displayName="ParkourResultat" ref="JJ18:JJ48" totalsRowShown="0" headerRowDxfId="258" dataDxfId="14">
  <autoFilter ref="JJ18:JJ48"/>
  <tableColumns count="1">
    <tableColumn id="1" name="Resultat" dataDxfId="15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73" name="ParkourNote" displayName="ParkourNote" ref="JR18:JR48" totalsRowShown="0" headerRowDxfId="256" dataDxfId="255">
  <autoFilter ref="JR18:JR48"/>
  <tableColumns count="1">
    <tableColumn id="1" name="Note" dataDxfId="257">
      <calculatedColumnFormula>IF(OR(JQ19="",ParkourSkalawert[[#This Row],[Skala-Wert]]=Stammdaten!$AX$19),"",INDEX(INDIRECT(JQ19),MATCH(ParkourSkalawert[[#This Row],[Skala-Wert]],INDIRECT(JN19),0)))</calculatedColumnFormula>
    </tableColumn>
  </tableColumns>
  <tableStyleInfo name="TableStyleMedium4" showFirstColumn="0" showLastColumn="0" showRowStripes="1" showColumnStripes="0"/>
</table>
</file>

<file path=xl/tables/table39.xml><?xml version="1.0" encoding="utf-8"?>
<table xmlns="http://schemas.openxmlformats.org/spreadsheetml/2006/main" id="74" name="ParkourSkalawert" displayName="ParkourSkalawert" ref="JO18:JO48" totalsRowShown="0" headerRowDxfId="253" dataDxfId="252">
  <autoFilter ref="JO18:JO48"/>
  <tableColumns count="1">
    <tableColumn id="1" name="Skala-Wert" dataDxfId="254">
      <calculatedColumnFormula>IF(JN19="","",IF(OR(ParkourResultat[[#This Row],[Resultat]]=Stammdaten!$AX$22,ParkourResultat[[#This Row],[Resultat]]=Stammdaten!$AX$19),Stammdaten!$AX$19,IF(ISNA(INDEX(INDIRECT(JN19),MATCH(ParkourGerundet[[#This Row],[Rundung]],INDIRECT(JN19),JN$18))),IF(JN$18=-1,LARGE(INDIRECT(JN19),1),SMALL(INDIRECT(JN19),1)),INDEX(INDIRECT(JN19),MATCH(ParkourGerundet[[#This Row],[Rundung]],INDIRECT(JN19),JN$18)))))</calculatedColumnFormula>
    </tableColumn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id="86" name="SchwimmenResultat" displayName="SchwimmenResultat" ref="TM18:TM48" totalsRowShown="0" headerRowDxfId="329" dataDxfId="50">
  <autoFilter ref="TM18:TM48"/>
  <tableColumns count="1">
    <tableColumn id="1" name="Resultat" dataDxfId="51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id="9" name="TanzenResultat" displayName="TanzenResultat" ref="KI18:KI48" totalsRowShown="0" headerRowDxfId="251" dataDxfId="12">
  <autoFilter ref="KI18:KI48"/>
  <tableColumns count="1">
    <tableColumn id="1" name="Resultat" dataDxfId="1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64" name="TanzenNote" displayName="TanzenNote" ref="KQ18:KQ48" totalsRowShown="0" headerRowDxfId="249" dataDxfId="248">
  <autoFilter ref="KQ18:KQ48"/>
  <tableColumns count="1">
    <tableColumn id="1" name="Note" dataDxfId="250">
      <calculatedColumnFormula>IF(OR(KP19="",TanzenSkalawert[[#This Row],[Skala-Wert]]=Stammdaten!$AX$19),"",INDEX(INDIRECT(KP19),MATCH(TanzenSkalawert[[#This Row],[Skala-Wert]],INDIRECT(KM19),0)))</calculatedColumnFormula>
    </tableColumn>
  </tableColumns>
  <tableStyleInfo name="TableStyleMedium4" showFirstColumn="0" showLastColumn="0" showRowStripes="1" showColumnStripes="0"/>
</table>
</file>

<file path=xl/tables/table42.xml><?xml version="1.0" encoding="utf-8"?>
<table xmlns="http://schemas.openxmlformats.org/spreadsheetml/2006/main" id="71" name="TanzenSkalawert" displayName="TanzenSkalawert" ref="KN18:KN48" totalsRowShown="0" headerRowDxfId="246" dataDxfId="245">
  <autoFilter ref="KN18:KN48"/>
  <tableColumns count="1">
    <tableColumn id="1" name="Skala-Wert" dataDxfId="247">
      <calculatedColumnFormula>IF(KM19="","",IF(OR(TanzenResultat[[#This Row],[Resultat]]=Stammdaten!$AX$22,TanzenResultat[[#This Row],[Resultat]]=Stammdaten!$AX$19),Stammdaten!$AX$19,IF(ISNA(INDEX(INDIRECT(KM19),MATCH(TanzenGerundet[[#This Row],[Rundung]],INDIRECT(KM19),KM$18))),IF(KM$18=-1,LARGE(INDIRECT(KM19),1),SMALL(INDIRECT(KM19),1)),INDEX(INDIRECT(KM19),MATCH(TanzenGerundet[[#This Row],[Rundung]],INDIRECT(KM19),KM$18)))))</calculatedColumnFormula>
    </tableColumn>
  </tableColumns>
  <tableStyleInfo name="TableStyleMedium4" showFirstColumn="0" showLastColumn="0" showRowStripes="1" showColumnStripes="0"/>
</table>
</file>

<file path=xl/tables/table43.xml><?xml version="1.0" encoding="utf-8"?>
<table xmlns="http://schemas.openxmlformats.org/spreadsheetml/2006/main" id="10" name="RopeSkippingResultat" displayName="RopeSkippingResultat" ref="KS18:KS48" totalsRowShown="0" headerRowDxfId="244" dataDxfId="10">
  <autoFilter ref="KS18:KS48"/>
  <tableColumns count="1">
    <tableColumn id="1" name="Resultat" dataDxfId="11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id="16" name="RopeSkippingNote" displayName="RopeSkippingNote" ref="LA18:LA48" totalsRowShown="0" headerRowDxfId="242" dataDxfId="241">
  <autoFilter ref="LA18:LA48"/>
  <tableColumns count="1">
    <tableColumn id="1" name="Note" dataDxfId="243">
      <calculatedColumnFormula>IF(OR(KZ19="",RopeSkippingSkalawert[[#This Row],[Skala-Wert]]=Stammdaten!$AX$19),"",INDEX(INDIRECT(KZ19),MATCH(RopeSkippingSkalawert[[#This Row],[Skala-Wert]],INDIRECT(KW19),0)))</calculatedColumnFormula>
    </tableColumn>
  </tableColumns>
  <tableStyleInfo name="TableStyleMedium4" showFirstColumn="0" showLastColumn="0" showRowStripes="1" showColumnStripes="0"/>
</table>
</file>

<file path=xl/tables/table45.xml><?xml version="1.0" encoding="utf-8"?>
<table xmlns="http://schemas.openxmlformats.org/spreadsheetml/2006/main" id="21" name="RopeSkippingSkalawert" displayName="RopeSkippingSkalawert" ref="KX18:KX48" totalsRowShown="0" headerRowDxfId="239" dataDxfId="238">
  <autoFilter ref="KX18:KX48"/>
  <tableColumns count="1">
    <tableColumn id="1" name="Skala-Wert" dataDxfId="240">
      <calculatedColumnFormula>IF(KW19="","",IF(OR(RopeSkippingResultat[[#This Row],[Resultat]]=Stammdaten!$AX$22,RopeSkippingResultat[[#This Row],[Resultat]]=Stammdaten!$AX$19),Stammdaten!$AX$19,IF(ISNA(INDEX(INDIRECT(KW19),MATCH(RopeSkippingGerundet[[#This Row],[Rundung]],INDIRECT(KW19),KW$18))),IF(KW$18=-1,LARGE(INDIRECT(KW19),1),SMALL(INDIRECT(KW19),1)),INDEX(INDIRECT(KW19),MATCH(RopeSkippingGerundet[[#This Row],[Rundung]],INDIRECT(KW19),KW$18)))))</calculatedColumnFormula>
    </tableColumn>
  </tableColumns>
  <tableStyleInfo name="TableStyleMedium4" showFirstColumn="0" showLastColumn="0" showRowStripes="1" showColumnStripes="0"/>
</table>
</file>

<file path=xl/tables/table46.xml><?xml version="1.0" encoding="utf-8"?>
<table xmlns="http://schemas.openxmlformats.org/spreadsheetml/2006/main" id="22" name="AerobicResultat" displayName="AerobicResultat" ref="LC18:LC48" totalsRowShown="0" headerRowDxfId="236" dataDxfId="235">
  <autoFilter ref="LC18:LC48"/>
  <tableColumns count="1">
    <tableColumn id="1" name="Resultat" dataDxfId="237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id="23" name="AerobicNote" displayName="AerobicNote" ref="LK18:LK48" totalsRowShown="0" headerRowDxfId="233" dataDxfId="232">
  <autoFilter ref="LK18:LK48"/>
  <tableColumns count="1">
    <tableColumn id="1" name="Note" dataDxfId="234">
      <calculatedColumnFormula>IF(OR(LJ19="",AerobicSkalawert[[#This Row],[Skala-Wert]]=Stammdaten!$AX$19),"",INDEX(INDIRECT(LJ19),MATCH(AerobicSkalawert[[#This Row],[Skala-Wert]],INDIRECT(LG19),0)))</calculatedColumnFormula>
    </tableColumn>
  </tableColumns>
  <tableStyleInfo name="TableStyleMedium4" showFirstColumn="0" showLastColumn="0" showRowStripes="1" showColumnStripes="0"/>
</table>
</file>

<file path=xl/tables/table48.xml><?xml version="1.0" encoding="utf-8"?>
<table xmlns="http://schemas.openxmlformats.org/spreadsheetml/2006/main" id="75" name="AerobicSkalawert" displayName="AerobicSkalawert" ref="LH18:LH48" totalsRowShown="0" headerRowDxfId="230" dataDxfId="229">
  <autoFilter ref="LH18:LH48"/>
  <tableColumns count="1">
    <tableColumn id="1" name="Skala-Wert" dataDxfId="231">
      <calculatedColumnFormula>IF(LG19="","",IF(OR(AerobicResultat[[#This Row],[Resultat]]=Stammdaten!$AX$22,AerobicResultat[[#This Row],[Resultat]]=Stammdaten!$AX$19),Stammdaten!$AX$19,IF(ISNA(INDEX(INDIRECT(LG19),MATCH(AerobicGerundet[[#This Row],[Rundung]],INDIRECT(LG19),LG$18))),IF(LG$18=-1,LARGE(INDIRECT(LG19),1),SMALL(INDIRECT(LG19),1)),INDEX(INDIRECT(LG19),MATCH(AerobicGerundet[[#This Row],[Rundung]],INDIRECT(LG19),LG$18)))))</calculatedColumnFormula>
    </tableColumn>
  </tableColumns>
  <tableStyleInfo name="TableStyleMedium4" showFirstColumn="0" showLastColumn="0" showRowStripes="1" showColumnStripes="0"/>
</table>
</file>

<file path=xl/tables/table49.xml><?xml version="1.0" encoding="utf-8"?>
<table xmlns="http://schemas.openxmlformats.org/spreadsheetml/2006/main" id="77" name="BasketballResultat" displayName="BasketballResultat" ref="ML18:ML48" totalsRowShown="0" headerRowDxfId="228" dataDxfId="8">
  <autoFilter ref="ML18:ML48"/>
  <tableColumns count="1">
    <tableColumn id="1" name="Resultat" dataDxfId="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7" name="SechzigmLaufNote" displayName="SechzigmLaufNote" ref="O18:O48" totalsRowShown="0" headerRowDxfId="327" dataDxfId="326">
  <autoFilter ref="O18:O48"/>
  <tableColumns count="1">
    <tableColumn id="1" name="Note" dataDxfId="328">
      <calculatedColumnFormula>IF(OR(N19="",SechzigmLaufSkalawert[[#This Row],[Skala-Wert]]=Stammdaten!$AX$19),"",INDEX(INDIRECT(N19),MATCH(SechzigmLaufSkalawert[[#This Row],[Skala-Wert]],INDIRECT(K19),0)))</calculatedColumnFormula>
    </tableColumn>
  </tableColumns>
  <tableStyleInfo name="TableStyleMedium4" showFirstColumn="0" showLastColumn="0" showRowStripes="1" showColumnStripes="0"/>
</table>
</file>

<file path=xl/tables/table50.xml><?xml version="1.0" encoding="utf-8"?>
<table xmlns="http://schemas.openxmlformats.org/spreadsheetml/2006/main" id="78" name="BasketballNote" displayName="BasketballNote" ref="MT18:MT48" totalsRowShown="0" headerRowDxfId="226" dataDxfId="225">
  <autoFilter ref="MT18:MT48"/>
  <tableColumns count="1">
    <tableColumn id="1" name="Note" dataDxfId="227">
      <calculatedColumnFormula>IF(OR(MS19="",BasketballSkalawert[[#This Row],[Skala-Wert]]=Stammdaten!$AX$19),"",INDEX(INDIRECT(MS19),MATCH(BasketballSkalawert[[#This Row],[Skala-Wert]],INDIRECT(MP19),0)))</calculatedColumnFormula>
    </tableColumn>
  </tableColumns>
  <tableStyleInfo name="TableStyleMedium4" showFirstColumn="0" showLastColumn="0" showRowStripes="1" showColumnStripes="0"/>
</table>
</file>

<file path=xl/tables/table51.xml><?xml version="1.0" encoding="utf-8"?>
<table xmlns="http://schemas.openxmlformats.org/spreadsheetml/2006/main" id="79" name="BasketballSkalawert" displayName="BasketballSkalawert" ref="MQ18:MQ48" totalsRowShown="0" headerRowDxfId="223" dataDxfId="222">
  <autoFilter ref="MQ18:MQ48"/>
  <tableColumns count="1">
    <tableColumn id="1" name="Skala-Wert" dataDxfId="224">
      <calculatedColumnFormula>IF(MP19="","",IF(OR(BasketballResultat[[#This Row],[Resultat]]=Stammdaten!$AX$22,BasketballResultat[[#This Row],[Resultat]]=Stammdaten!$AX$19),Stammdaten!$AX$19,IF(ISNA(INDEX(INDIRECT(MP19),MATCH(BasketballGerundet[[#This Row],[Rundung]],INDIRECT(MP19),MP$18))),IF(MP$18=-1,LARGE(INDIRECT(MP19),1),SMALL(INDIRECT(MP19),1)),INDEX(INDIRECT(MP19),MATCH(BasketballGerundet[[#This Row],[Rundung]],INDIRECT(MP19),MP$18)))))</calculatedColumnFormula>
    </tableColumn>
  </tableColumns>
  <tableStyleInfo name="TableStyleMedium4" showFirstColumn="0" showLastColumn="0" showRowStripes="1" showColumnStripes="0"/>
</table>
</file>

<file path=xl/tables/table52.xml><?xml version="1.0" encoding="utf-8"?>
<table xmlns="http://schemas.openxmlformats.org/spreadsheetml/2006/main" id="80" name="FussballResultat" displayName="FussballResultat" ref="MV18:MV48" totalsRowShown="0" headerRowDxfId="221" dataDxfId="6">
  <autoFilter ref="MV18:MV48"/>
  <tableColumns count="1">
    <tableColumn id="1" name="Resultat" dataDxfId="7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id="81" name="FussballNote" displayName="FussballNote" ref="ND18:ND48" totalsRowShown="0" headerRowDxfId="219" dataDxfId="218">
  <autoFilter ref="ND18:ND48"/>
  <tableColumns count="1">
    <tableColumn id="1" name="Note" dataDxfId="220">
      <calculatedColumnFormula>IF(OR(NC19="",FussballSkalawert[[#This Row],[Skala-Wert]]=Stammdaten!$AX$19),"",INDEX(INDIRECT(NC19),MATCH(FussballSkalawert[[#This Row],[Skala-Wert]],INDIRECT(MZ19),0)))</calculatedColumnFormula>
    </tableColumn>
  </tableColumns>
  <tableStyleInfo name="TableStyleMedium4" showFirstColumn="0" showLastColumn="0" showRowStripes="1" showColumnStripes="0"/>
</table>
</file>

<file path=xl/tables/table54.xml><?xml version="1.0" encoding="utf-8"?>
<table xmlns="http://schemas.openxmlformats.org/spreadsheetml/2006/main" id="82" name="FussballSkalawert" displayName="FussballSkalawert" ref="NA18:NA48" totalsRowShown="0" headerRowDxfId="216" dataDxfId="215">
  <autoFilter ref="NA18:NA48"/>
  <tableColumns count="1">
    <tableColumn id="1" name="Skala-Wert" dataDxfId="217">
      <calculatedColumnFormula>IF(MZ19="","",IF(OR(FussballResultat[[#This Row],[Resultat]]=Stammdaten!$AX$22,FussballResultat[[#This Row],[Resultat]]=Stammdaten!$AX$19),Stammdaten!$AX$19,IF(ISNA(INDEX(INDIRECT(MZ19),MATCH(FussballGerundet[[#This Row],[Rundung]],INDIRECT(MZ19),MZ$18))),IF(MZ$18=-1,LARGE(INDIRECT(MZ19),1),SMALL(INDIRECT(MZ19),1)),INDEX(INDIRECT(MZ19),MATCH(FussballGerundet[[#This Row],[Rundung]],INDIRECT(MZ19),MZ$18)))))</calculatedColumnFormula>
    </tableColumn>
  </tableColumns>
  <tableStyleInfo name="TableStyleMedium4" showFirstColumn="0" showLastColumn="0" showRowStripes="1" showColumnStripes="0"/>
</table>
</file>

<file path=xl/tables/table55.xml><?xml version="1.0" encoding="utf-8"?>
<table xmlns="http://schemas.openxmlformats.org/spreadsheetml/2006/main" id="178" name="HandballResultat" displayName="HandballResultat" ref="NF18:NF48" totalsRowShown="0" headerRowDxfId="214" dataDxfId="4">
  <autoFilter ref="NF18:NF48"/>
  <tableColumns count="1">
    <tableColumn id="1" name="Resultat" dataDxfId="5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id="179" name="HandballNote" displayName="HandballNote" ref="NN18:NN48" totalsRowShown="0" headerRowDxfId="212" dataDxfId="211">
  <autoFilter ref="NN18:NN48"/>
  <tableColumns count="1">
    <tableColumn id="1" name="Note" dataDxfId="213">
      <calculatedColumnFormula>IF(OR(NM19="",HandballSkalawert[[#This Row],[Skala-Wert]]=Stammdaten!$AX$19),"",INDEX(INDIRECT(NM19),MATCH(HandballSkalawert[[#This Row],[Skala-Wert]],INDIRECT(NJ19),0)))</calculatedColumnFormula>
    </tableColumn>
  </tableColumns>
  <tableStyleInfo name="TableStyleMedium4" showFirstColumn="0" showLastColumn="0" showRowStripes="1" showColumnStripes="0"/>
</table>
</file>

<file path=xl/tables/table57.xml><?xml version="1.0" encoding="utf-8"?>
<table xmlns="http://schemas.openxmlformats.org/spreadsheetml/2006/main" id="180" name="HandballSkalawert" displayName="HandballSkalawert" ref="NK18:NK48" totalsRowShown="0" headerRowDxfId="209" dataDxfId="208">
  <autoFilter ref="NK18:NK48"/>
  <tableColumns count="1">
    <tableColumn id="1" name="Skala-Wert" dataDxfId="210">
      <calculatedColumnFormula>IF(NJ19="","",IF(OR(HandballResultat[[#This Row],[Resultat]]=Stammdaten!$AX$22,HandballResultat[[#This Row],[Resultat]]=Stammdaten!$AX$19),Stammdaten!$AX$19,IF(ISNA(INDEX(INDIRECT(NJ19),MATCH(HandballGerundet[[#This Row],[Rundung]],INDIRECT(NJ19),NJ$18))),IF(NJ$18=-1,LARGE(INDIRECT(NJ19),1),SMALL(INDIRECT(NJ19),1)),INDEX(INDIRECT(NJ19),MATCH(HandballGerundet[[#This Row],[Rundung]],INDIRECT(NJ19),NJ$18)))))</calculatedColumnFormula>
    </tableColumn>
  </tableColumns>
  <tableStyleInfo name="TableStyleMedium4" showFirstColumn="0" showLastColumn="0" showRowStripes="1" showColumnStripes="0"/>
</table>
</file>

<file path=xl/tables/table58.xml><?xml version="1.0" encoding="utf-8"?>
<table xmlns="http://schemas.openxmlformats.org/spreadsheetml/2006/main" id="181" name="UnihockeyResultat" displayName="UnihockeyResultat" ref="NP18:NP48" totalsRowShown="0" headerRowDxfId="207" dataDxfId="2">
  <autoFilter ref="NP18:NP48"/>
  <tableColumns count="1">
    <tableColumn id="1" name="Resultat" dataDxfId="3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id="182" name="UnihockeyNote" displayName="UnihockeyNote" ref="NX18:NX48" totalsRowShown="0" headerRowDxfId="205" dataDxfId="204">
  <autoFilter ref="NX18:NX48"/>
  <tableColumns count="1">
    <tableColumn id="1" name="Note" dataDxfId="206">
      <calculatedColumnFormula>IF(OR(NW19="",UnihockeySkalawert[[#This Row],[Skala-Wert]]=Stammdaten!$AX$19),"",INDEX(INDIRECT(NW19),MATCH(UnihockeySkalawert[[#This Row],[Skala-Wert]],INDIRECT(NT19),0)))</calculatedColumnFormula>
    </tableColumn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id="134" name="SechzigmLaufSkalawert" displayName="SechzigmLaufSkalawert" ref="L18:L48" totalsRowShown="0" headerRowDxfId="324" dataDxfId="323">
  <autoFilter ref="L18:L48"/>
  <tableColumns count="1">
    <tableColumn id="1" name="Skala-Wert" dataDxfId="325">
      <calculatedColumnFormula>IF(K19="","",IF(OR(SechzigmLaufResultat[[#This Row],[Resultat]]=Stammdaten!$AX$22,SechzigmLaufResultat[[#This Row],[Resultat]]=Stammdaten!$AX$19),Stammdaten!$AX$19,IF(ISNA(INDEX(INDIRECT(K19),MATCH(SechzigmLaufGerundet[[#This Row],[Rundung]],INDIRECT(K19),K$18))),IF(K$18=-1,LARGE(INDIRECT(K19),1),SMALL(INDIRECT(K19),1)),INDEX(INDIRECT(K19),MATCH(SechzigmLaufGerundet[[#This Row],[Rundung]],INDIRECT(K19),K$18)))))</calculatedColumnFormula>
    </tableColumn>
  </tableColumns>
  <tableStyleInfo name="TableStyleMedium4" showFirstColumn="0" showLastColumn="0" showRowStripes="1" showColumnStripes="0"/>
</table>
</file>

<file path=xl/tables/table60.xml><?xml version="1.0" encoding="utf-8"?>
<table xmlns="http://schemas.openxmlformats.org/spreadsheetml/2006/main" id="183" name="UnihockeySkalawert" displayName="UnihockeySkalawert" ref="NU18:NU48" totalsRowShown="0" headerRowDxfId="202" dataDxfId="201">
  <autoFilter ref="NU18:NU48"/>
  <tableColumns count="1">
    <tableColumn id="1" name="Skala-Wert" dataDxfId="203">
      <calculatedColumnFormula>IF(NT19="","",IF(OR(UnihockeyResultat[[#This Row],[Resultat]]=Stammdaten!$AX$22,UnihockeyResultat[[#This Row],[Resultat]]=Stammdaten!$AX$19),Stammdaten!$AX$19,IF(ISNA(INDEX(INDIRECT(NT19),MATCH(UnihockeyGerundet[[#This Row],[Rundung]],INDIRECT(NT19),NT$18))),IF(NT$18=-1,LARGE(INDIRECT(NT19),1),SMALL(INDIRECT(NT19),1)),INDEX(INDIRECT(NT19),MATCH(UnihockeyGerundet[[#This Row],[Rundung]],INDIRECT(NT19),NT$18)))))</calculatedColumnFormula>
    </tableColumn>
  </tableColumns>
  <tableStyleInfo name="TableStyleMedium4" showFirstColumn="0" showLastColumn="0" showRowStripes="1" showColumnStripes="0"/>
</table>
</file>

<file path=xl/tables/table61.xml><?xml version="1.0" encoding="utf-8"?>
<table xmlns="http://schemas.openxmlformats.org/spreadsheetml/2006/main" id="184" name="VolleyballResultat" displayName="VolleyballResultat" ref="NZ18:NZ48" totalsRowShown="0" headerRowDxfId="200" dataDxfId="0">
  <autoFilter ref="NZ18:NZ48"/>
  <tableColumns count="1">
    <tableColumn id="1" name="Resultat" dataDxfId="1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id="185" name="VolleyballNote" displayName="VolleyballNote" ref="OH18:OH48" totalsRowShown="0" headerRowDxfId="198" dataDxfId="197">
  <autoFilter ref="OH18:OH48"/>
  <tableColumns count="1">
    <tableColumn id="1" name="Note" dataDxfId="199">
      <calculatedColumnFormula>IF(OR(OG19="",VolleyballSkalawert[[#This Row],[Skala-Wert]]=Stammdaten!$AX$19),"",INDEX(INDIRECT(OG19),MATCH(VolleyballSkalawert[[#This Row],[Skala-Wert]],INDIRECT(OD19),0)))</calculatedColumnFormula>
    </tableColumn>
  </tableColumns>
  <tableStyleInfo name="TableStyleMedium4" showFirstColumn="0" showLastColumn="0" showRowStripes="1" showColumnStripes="0"/>
</table>
</file>

<file path=xl/tables/table63.xml><?xml version="1.0" encoding="utf-8"?>
<table xmlns="http://schemas.openxmlformats.org/spreadsheetml/2006/main" id="186" name="VolleyballSkalawert" displayName="VolleyballSkalawert" ref="OE18:OE48" totalsRowShown="0" headerRowDxfId="195" dataDxfId="194">
  <autoFilter ref="OE18:OE48"/>
  <tableColumns count="1">
    <tableColumn id="1" name="Skala-Wert" dataDxfId="196">
      <calculatedColumnFormula>IF(OD19="","",IF(OR(VolleyballResultat[[#This Row],[Resultat]]=Stammdaten!$AX$22,VolleyballResultat[[#This Row],[Resultat]]=Stammdaten!$AX$19),Stammdaten!$AX$19,IF(ISNA(INDEX(INDIRECT(OD19),MATCH(VolleyballGerundet[[#This Row],[Rundung]],INDIRECT(OD19),OD$18))),IF(OD$18=-1,LARGE(INDIRECT(OD19),1),SMALL(INDIRECT(OD19),1)),INDEX(INDIRECT(OD19),MATCH(VolleyballGerundet[[#This Row],[Rundung]],INDIRECT(OD19),OD$18)))))</calculatedColumnFormula>
    </tableColumn>
  </tableColumns>
  <tableStyleInfo name="TableStyleMedium4" showFirstColumn="0" showLastColumn="0" showRowStripes="1" showColumnStripes="0"/>
</table>
</file>

<file path=xl/tables/table64.xml><?xml version="1.0" encoding="utf-8"?>
<table xmlns="http://schemas.openxmlformats.org/spreadsheetml/2006/main" id="187" name="SchwimmenSkalawert" displayName="SchwimmenSkalawert" ref="TQ18:TQ48" totalsRowShown="0" headerRowDxfId="192" dataDxfId="191">
  <autoFilter ref="TQ18:TQ48"/>
  <tableColumns count="1">
    <tableColumn id="1" name="Skala-Wert" dataDxfId="193">
      <calculatedColumnFormula>IF(TP19="","",IF(OR(SchwimmenResultat[[#This Row],[Resultat]]=Stammdaten!$AX$22,SchwimmenResultat[[#This Row],[Resultat]]=Stammdaten!$AX$19),Stammdaten!$AX$19,IF(ISNA(INDEX(INDIRECT(TP19),MATCH(SchwimmenGerundet[[#This Row],[Rundung]],INDIRECT(TP19),TP$18))),IF(TP$18=-1,LARGE(INDIRECT(TP19),1),SMALL(INDIRECT(TP19),1)),INDEX(INDIRECT(TP19),MATCH(SchwimmenGerundet[[#This Row],[Rundung]],INDIRECT(TP19),TP$18)))))</calculatedColumnFormula>
    </tableColumn>
  </tableColumns>
  <tableStyleInfo name="TableStyleMedium4" showFirstColumn="0" showLastColumn="0" showRowStripes="1" showColumnStripes="0"/>
</table>
</file>

<file path=xl/tables/table65.xml><?xml version="1.0" encoding="utf-8"?>
<table xmlns="http://schemas.openxmlformats.org/spreadsheetml/2006/main" id="188" name="SchwimmenStatus" displayName="SchwimmenStatus" ref="TT18:TT48" totalsRowShown="0" headerRowDxfId="189" dataDxfId="188">
  <autoFilter ref="TT18:TT48"/>
  <tableColumns count="1">
    <tableColumn id="1" name="Status" dataDxfId="190">
      <calculatedColumnFormula>IF(OR(TS19="",SchwimmenSkalawert[[#This Row],[Skala-Wert]]=Stammdaten!$AX$19),"",INDEX(INDIRECT(TS19),MATCH(SchwimmenSkalawert[[#This Row],[Skala-Wert]],INDIRECT(TP19),0)))</calculatedColumnFormula>
    </tableColumn>
  </tableColumns>
  <tableStyleInfo name="TableStyleMedium4" showFirstColumn="0" showLastColumn="0" showRowStripes="1" showColumnStripes="0"/>
</table>
</file>

<file path=xl/tables/table66.xml><?xml version="1.0" encoding="utf-8"?>
<table xmlns="http://schemas.openxmlformats.org/spreadsheetml/2006/main" id="189" name="SechzigmLaufFitResultat" displayName="SechzigmLaufFitResultat" ref="TV18:TV48" totalsRowShown="0" headerRowDxfId="186" dataDxfId="185">
  <autoFilter ref="TV18:TV48"/>
  <tableColumns count="1">
    <tableColumn id="1" name="Resultat" dataDxfId="187">
      <calculatedColumnFormula>IF(ZwölfMinLaufHalleResultat[[#This Row],[Resultat]]=0,"",ZwölfMinLaufHalleResultat[[#This Row],[Resultat]])</calculatedColumnFormula>
    </tableColumn>
  </tableColumns>
  <tableStyleInfo name="TableStyleMedium4" showFirstColumn="0" showLastColumn="0" showRowStripes="1" showColumnStripes="0"/>
</table>
</file>

<file path=xl/tables/table67.xml><?xml version="1.0" encoding="utf-8"?>
<table xmlns="http://schemas.openxmlformats.org/spreadsheetml/2006/main" id="190" name="SechzigmLaufFitNote" displayName="SechzigmLaufFitNote" ref="TZ18:TZ48" totalsRowShown="0" headerRowDxfId="183" dataDxfId="182">
  <autoFilter ref="TZ18:TZ48"/>
  <tableColumns count="1">
    <tableColumn id="1" name="Note" dataDxfId="184">
      <calculatedColumnFormula>ZwölfMinLaufHalleNote[[#This Row],[Note]]</calculatedColumnFormula>
    </tableColumn>
  </tableColumns>
  <tableStyleInfo name="TableStyleMedium4" showFirstColumn="0" showLastColumn="0" showRowStripes="1" showColumnStripes="0"/>
</table>
</file>

<file path=xl/tables/table68.xml><?xml version="1.0" encoding="utf-8"?>
<table xmlns="http://schemas.openxmlformats.org/spreadsheetml/2006/main" id="191" name="SechzigmLaufFitSkalawert" displayName="SechzigmLaufFitSkalawert" ref="TX18:TX48" totalsRowShown="0" headerRowDxfId="180" dataDxfId="179">
  <autoFilter ref="TX18:TX48"/>
  <tableColumns count="1">
    <tableColumn id="1" name="Skala-Wert" dataDxfId="181">
      <calculatedColumnFormula>ZwölfMinLaufHalleSkalawert[[#This Row],[Skala-Wert]]</calculatedColumnFormula>
    </tableColumn>
  </tableColumns>
  <tableStyleInfo name="TableStyleMedium4" showFirstColumn="0" showLastColumn="0" showRowStripes="1" showColumnStripes="0"/>
</table>
</file>

<file path=xl/tables/table69.xml><?xml version="1.0" encoding="utf-8"?>
<table xmlns="http://schemas.openxmlformats.org/spreadsheetml/2006/main" id="192" name="AchtzigmLaufFitResultat" displayName="AchtzigmLaufFitResultat" ref="UB18:UB48" totalsRowShown="0" headerRowDxfId="177" dataDxfId="176">
  <autoFilter ref="UB18:UB48"/>
  <tableColumns count="1">
    <tableColumn id="1" name="Resultat" dataDxfId="178">
      <calculatedColumnFormula>IF(ZwölfMinLaufimFreienResultat[[#This Row],[Resultat]]=0,"",ZwölfMinLaufimFreienResultat[[#This Row],[Resultat]])</calculatedColumnFormula>
    </tableColumn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136" name="AchtzigmLaufResultat" displayName="AchtzigmLaufResultat" ref="Q18:Q48" totalsRowShown="0" headerRowDxfId="322" dataDxfId="40">
  <autoFilter ref="Q18:Q48"/>
  <tableColumns count="1">
    <tableColumn id="1" name="Resultat" dataDxfId="41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id="193" name="AchtzigmLaufFitNote" displayName="AchtzigmLaufFitNote" ref="UF18:UF48" totalsRowShown="0" headerRowDxfId="174" dataDxfId="173">
  <autoFilter ref="UF18:UF48"/>
  <tableColumns count="1">
    <tableColumn id="1" name="Note" dataDxfId="175">
      <calculatedColumnFormula>ZwölfMinLaufimFreienNote[[#This Row],[Note]]</calculatedColumnFormula>
    </tableColumn>
  </tableColumns>
  <tableStyleInfo name="TableStyleMedium4" showFirstColumn="0" showLastColumn="0" showRowStripes="1" showColumnStripes="0"/>
</table>
</file>

<file path=xl/tables/table71.xml><?xml version="1.0" encoding="utf-8"?>
<table xmlns="http://schemas.openxmlformats.org/spreadsheetml/2006/main" id="194" name="AchtzigmLaufFitSkalawert" displayName="AchtzigmLaufFitSkalawert" ref="UD18:UD48" totalsRowShown="0" headerRowDxfId="171" dataDxfId="170">
  <autoFilter ref="UD18:UD48"/>
  <tableColumns count="1">
    <tableColumn id="1" name="Skala-Wert" dataDxfId="172">
      <calculatedColumnFormula>ZwölfMinLaufimFreienSkalawert[[#This Row],[Skala-Wert]]</calculatedColumnFormula>
    </tableColumn>
  </tableColumns>
  <tableStyleInfo name="TableStyleMedium4" showFirstColumn="0" showLastColumn="0" showRowStripes="1" showColumnStripes="0"/>
</table>
</file>

<file path=xl/tables/table72.xml><?xml version="1.0" encoding="utf-8"?>
<table xmlns="http://schemas.openxmlformats.org/spreadsheetml/2006/main" id="195" name="ZwölfMinLaufHalleFitResultat" displayName="ZwölfMinLaufHalleFitResultat" ref="UZ18:UZ48" totalsRowShown="0" headerRowDxfId="168" dataDxfId="167">
  <autoFilter ref="UZ18:UZ48"/>
  <tableColumns count="1">
    <tableColumn id="1" name="Resultat" dataDxfId="169">
      <calculatedColumnFormula>IF(SechzigmLaufResultat[[#This Row],[Resultat]]=0,"",SechzigmLaufResultat[[#This Row],[Resultat]])</calculatedColumnFormula>
    </tableColumn>
  </tableColumns>
  <tableStyleInfo name="TableStyleMedium4" showFirstColumn="0" showLastColumn="0" showRowStripes="1" showColumnStripes="0"/>
</table>
</file>

<file path=xl/tables/table73.xml><?xml version="1.0" encoding="utf-8"?>
<table xmlns="http://schemas.openxmlformats.org/spreadsheetml/2006/main" id="196" name="ZwölfMinLaufHalleFitNote" displayName="ZwölfMinLaufHalleFitNote" ref="VD18:VD48" totalsRowShown="0" headerRowDxfId="165" dataDxfId="164">
  <autoFilter ref="VD18:VD48"/>
  <tableColumns count="1">
    <tableColumn id="1" name="Note" dataDxfId="166">
      <calculatedColumnFormula>SechzigmLaufNote[[#This Row],[Note]]</calculatedColumnFormula>
    </tableColumn>
  </tableColumns>
  <tableStyleInfo name="TableStyleMedium4" showFirstColumn="0" showLastColumn="0" showRowStripes="1" showColumnStripes="0"/>
</table>
</file>

<file path=xl/tables/table74.xml><?xml version="1.0" encoding="utf-8"?>
<table xmlns="http://schemas.openxmlformats.org/spreadsheetml/2006/main" id="197" name="ZwölfMinLaufHalleFitSkalawert" displayName="ZwölfMinLaufHalleFitSkalawert" ref="VB18:VB48" totalsRowShown="0" headerRowDxfId="162" dataDxfId="161">
  <autoFilter ref="VB18:VB48"/>
  <tableColumns count="1">
    <tableColumn id="1" name="Skala-Wert" dataDxfId="163">
      <calculatedColumnFormula>SechzigmLaufSkalawert[[#This Row],[Skala-Wert]]</calculatedColumnFormula>
    </tableColumn>
  </tableColumns>
  <tableStyleInfo name="TableStyleMedium4" showFirstColumn="0" showLastColumn="0" showRowStripes="1" showColumnStripes="0"/>
</table>
</file>

<file path=xl/tables/table75.xml><?xml version="1.0" encoding="utf-8"?>
<table xmlns="http://schemas.openxmlformats.org/spreadsheetml/2006/main" id="198" name="ZwölfMinLaufimFreienFitResultat" displayName="ZwölfMinLaufimFreienFitResultat" ref="VF18:VF48" totalsRowShown="0" headerRowDxfId="159" dataDxfId="158">
  <autoFilter ref="VF18:VF48"/>
  <tableColumns count="1">
    <tableColumn id="1" name="Resultat" dataDxfId="160">
      <calculatedColumnFormula>IF(AchtzigmLaufResultat[[#This Row],[Resultat]]=0,"",AchtzigmLaufResultat[[#This Row],[Resultat]])</calculatedColumnFormula>
    </tableColumn>
  </tableColumns>
  <tableStyleInfo name="TableStyleMedium4" showFirstColumn="0" showLastColumn="0" showRowStripes="1" showColumnStripes="0"/>
</table>
</file>

<file path=xl/tables/table76.xml><?xml version="1.0" encoding="utf-8"?>
<table xmlns="http://schemas.openxmlformats.org/spreadsheetml/2006/main" id="199" name="ZwölfMinLaufimFreienFitNote" displayName="ZwölfMinLaufimFreienFitNote" ref="VJ18:VJ48" totalsRowShown="0" headerRowDxfId="156" dataDxfId="155">
  <autoFilter ref="VJ18:VJ48"/>
  <tableColumns count="1">
    <tableColumn id="1" name="Note" dataDxfId="157">
      <calculatedColumnFormula>AchtzigmLaufNote[[#This Row],[Note]]</calculatedColumnFormula>
    </tableColumn>
  </tableColumns>
  <tableStyleInfo name="TableStyleMedium4" showFirstColumn="0" showLastColumn="0" showRowStripes="1" showColumnStripes="0"/>
</table>
</file>

<file path=xl/tables/table77.xml><?xml version="1.0" encoding="utf-8"?>
<table xmlns="http://schemas.openxmlformats.org/spreadsheetml/2006/main" id="200" name="ZwölfMinLaufimFreienFitSkalawert" displayName="ZwölfMinLaufimFreienFitSkalawert" ref="VH18:VH48" totalsRowShown="0" headerRowDxfId="153" dataDxfId="152">
  <autoFilter ref="VH18:VH48"/>
  <tableColumns count="1">
    <tableColumn id="1" name="Skala-Wert" dataDxfId="154">
      <calculatedColumnFormula>AchtzigmLaufSkalawert[[#This Row],[Skala-Wert]]</calculatedColumnFormula>
    </tableColumn>
  </tableColumns>
  <tableStyleInfo name="TableStyleMedium4" showFirstColumn="0" showLastColumn="0" showRowStripes="1" showColumnStripes="0"/>
</table>
</file>

<file path=xl/tables/table78.xml><?xml version="1.0" encoding="utf-8"?>
<table xmlns="http://schemas.openxmlformats.org/spreadsheetml/2006/main" id="68" name="BeweglichkeitResultat" displayName="BeweglichkeitResultat" ref="UH18:UH48" totalsRowShown="0" headerRowDxfId="151" dataDxfId="48">
  <autoFilter ref="UH18:UH48"/>
  <tableColumns count="1">
    <tableColumn id="1" name="Resultat" dataDxfId="49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id="69" name="BeweglichkeitNote" displayName="BeweglichkeitNote" ref="UO18:UO48" totalsRowShown="0" headerRowDxfId="149" dataDxfId="148">
  <autoFilter ref="UO18:UO48"/>
  <tableColumns count="1">
    <tableColumn id="1" name="Note" dataDxfId="150">
      <calculatedColumnFormula>IF(OR(UK19="",BeweglichkeitSkalawert[[#This Row],[Skala-Wert]]=Stammdaten!$AX$19),"",INDEX(INDIRECT(UN19),MATCH(BeweglichkeitSkalawert[[#This Row],[Skala-Wert]],INDIRECT(UK19),0)))</calculatedColumnFormula>
    </tableColumn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137" name="AchtzigmLaufNote" displayName="AchtzigmLaufNote" ref="Y18:Y48" totalsRowShown="0" headerRowDxfId="320" dataDxfId="319">
  <autoFilter ref="Y18:Y48"/>
  <tableColumns count="1">
    <tableColumn id="1" name="Note" dataDxfId="321">
      <calculatedColumnFormula>IF(OR(X19="",AchtzigmLaufSkalawert[[#This Row],[Skala-Wert]]=Stammdaten!$AX$19),"",INDEX(INDIRECT(X19),MATCH(AchtzigmLaufSkalawert[[#This Row],[Skala-Wert]],INDIRECT(U19),0)))</calculatedColumnFormula>
    </tableColumn>
  </tableColumns>
  <tableStyleInfo name="TableStyleMedium4" showFirstColumn="0" showLastColumn="0" showRowStripes="1" showColumnStripes="0"/>
</table>
</file>

<file path=xl/tables/table80.xml><?xml version="1.0" encoding="utf-8"?>
<table xmlns="http://schemas.openxmlformats.org/spreadsheetml/2006/main" id="90" name="BeweglichkeitSkalawert" displayName="BeweglichkeitSkalawert" ref="UL18:UL48" totalsRowShown="0" headerRowDxfId="146" dataDxfId="145">
  <autoFilter ref="UL18:UL48"/>
  <tableColumns count="1">
    <tableColumn id="1" name="Skala-Wert" dataDxfId="147">
      <calculatedColumnFormula>IF(UK19="","",IF(OR(BeweglichkeitResultat[[#This Row],[Resultat]]=Stammdaten!$AX$22,BeweglichkeitResultat[[#This Row],[Resultat]]=Stammdaten!$AX$19),Stammdaten!$AX$19,IF(ISNA(INDEX(INDIRECT(UK19),MATCH(BeweglichkeitGerundet[[#This Row],[Rundung]],INDIRECT(UK19),UK$18))),IF(UK$18=-1,LARGE(INDIRECT(UK19),1),SMALL(INDIRECT(UK19),1)),INDEX(INDIRECT(UK19),MATCH(BeweglichkeitGerundet[[#This Row],[Rundung]],INDIRECT(UK19),UK$18)))))</calculatedColumnFormula>
    </tableColumn>
  </tableColumns>
  <tableStyleInfo name="TableStyleMedium4" showFirstColumn="0" showLastColumn="0" showRowStripes="1" showColumnStripes="0"/>
</table>
</file>

<file path=xl/tables/table81.xml><?xml version="1.0" encoding="utf-8"?>
<table xmlns="http://schemas.openxmlformats.org/spreadsheetml/2006/main" id="201" name="RumpfkraftResultat" displayName="RumpfkraftResultat" ref="UQ18:UQ48" totalsRowShown="0" headerRowDxfId="144" dataDxfId="46">
  <autoFilter ref="UQ18:UQ48"/>
  <tableColumns count="1">
    <tableColumn id="1" name="Resultat" dataDxfId="47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id="202" name="RumpfkraftNote" displayName="RumpfkraftNote" ref="UX18:UX48" totalsRowShown="0" headerRowDxfId="142" dataDxfId="141">
  <autoFilter ref="UX18:UX48"/>
  <tableColumns count="1">
    <tableColumn id="1" name="Note" dataDxfId="143">
      <calculatedColumnFormula>IF(OR(UT19="",RumpfkraftSkalawert[[#This Row],[Skala-Wert]]=Stammdaten!$AX$19),"",INDEX(INDIRECT(UW19),MATCH(RumpfkraftSkalawert[[#This Row],[Skala-Wert]],INDIRECT(UT19),0)))</calculatedColumnFormula>
    </tableColumn>
  </tableColumns>
  <tableStyleInfo name="TableStyleMedium4" showFirstColumn="0" showLastColumn="0" showRowStripes="1" showColumnStripes="0"/>
</table>
</file>

<file path=xl/tables/table83.xml><?xml version="1.0" encoding="utf-8"?>
<table xmlns="http://schemas.openxmlformats.org/spreadsheetml/2006/main" id="203" name="RumpfkraftSkalawert" displayName="RumpfkraftSkalawert" ref="UU18:UU48" totalsRowShown="0" headerRowDxfId="139" dataDxfId="138">
  <autoFilter ref="UU18:UU48"/>
  <tableColumns count="1">
    <tableColumn id="1" name="Skala-Wert" dataDxfId="140">
      <calculatedColumnFormula>IF(UT19="","",IF(OR(RumpfkraftResultat[[#This Row],[Resultat]]=Stammdaten!$AX$22,RumpfkraftResultat[[#This Row],[Resultat]]=Stammdaten!$AX$19),Stammdaten!$AX$19,IF(ISNA(INDEX(INDIRECT(UT19),MATCH(RumpfkraftGerundet[[#This Row],[Rundung]],INDIRECT(UT19),UT$18))),IF(UT$18=-1,LARGE(INDIRECT(UT19),1),SMALL(INDIRECT(UT19),1)),INDEX(INDIRECT(UT19),MATCH(RumpfkraftGerundet[[#This Row],[Rundung]],INDIRECT(UT19),UT$18)))))</calculatedColumnFormula>
    </tableColumn>
  </tableColumns>
  <tableStyleInfo name="TableStyleMedium4" showFirstColumn="0" showLastColumn="0" showRowStripes="1" showColumnStripes="0"/>
</table>
</file>

<file path=xl/tables/table84.xml><?xml version="1.0" encoding="utf-8"?>
<table xmlns="http://schemas.openxmlformats.org/spreadsheetml/2006/main" id="210" name="KonditionsparcoursResultat" displayName="KonditionsparcoursResultat" ref="VL18:VL48" totalsRowShown="0" headerRowDxfId="137" dataDxfId="44">
  <autoFilter ref="VL18:VL48"/>
  <tableColumns count="1">
    <tableColumn id="1" name="Resultat" dataDxfId="45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id="211" name="KonditionsparcoursNote" displayName="KonditionsparcoursNote" ref="VT18:VT48" totalsRowShown="0" headerRowDxfId="135" dataDxfId="134">
  <autoFilter ref="VT18:VT48"/>
  <tableColumns count="1">
    <tableColumn id="1" name="Note" dataDxfId="136">
      <calculatedColumnFormula>IF(OR(VS19="",KonditionsparcoursSkalawert[[#This Row],[Skala-Wert]]=Stammdaten!$AX$19),"",INDEX(INDIRECT(VS19),MATCH(KonditionsparcoursSkalawert[[#This Row],[Skala-Wert]],INDIRECT(VP19),0)))</calculatedColumnFormula>
    </tableColumn>
  </tableColumns>
  <tableStyleInfo name="TableStyleMedium4" showFirstColumn="0" showLastColumn="0" showRowStripes="1" showColumnStripes="0"/>
</table>
</file>

<file path=xl/tables/table86.xml><?xml version="1.0" encoding="utf-8"?>
<table xmlns="http://schemas.openxmlformats.org/spreadsheetml/2006/main" id="212" name="KonditionsparcoursSkalawert" displayName="KonditionsparcoursSkalawert" ref="VQ18:VQ48" totalsRowShown="0" headerRowDxfId="132" dataDxfId="131">
  <autoFilter ref="VQ18:VQ48"/>
  <tableColumns count="1">
    <tableColumn id="1" name="Skala-Wert" dataDxfId="133">
      <calculatedColumnFormula>IF(VP19="","",IF(OR(KonditionsparcoursResultat[[#This Row],[Resultat]]=Stammdaten!$AX$22,KonditionsparcoursResultat[[#This Row],[Resultat]]=Stammdaten!$AX$19),Stammdaten!$AX$19,IF(ISNA(INDEX(INDIRECT(VP19),MATCH(KonditionsparcoursGerundet[[#This Row],[Rundung]],INDIRECT(VP19),VP$18))),IF(VP$18=-1,LARGE(INDIRECT(VP19),1),SMALL(INDIRECT(VP19),1)),INDEX(INDIRECT(VP19),MATCH(KonditionsparcoursGerundet[[#This Row],[Rundung]],INDIRECT(VP19),VP$18)))))</calculatedColumnFormula>
    </tableColumn>
  </tableColumns>
  <tableStyleInfo name="TableStyleMedium4" showFirstColumn="0" showLastColumn="0" showRowStripes="1" showColumnStripes="0"/>
</table>
</file>

<file path=xl/tables/table87.xml><?xml version="1.0" encoding="utf-8"?>
<table xmlns="http://schemas.openxmlformats.org/spreadsheetml/2006/main" id="88" name="GeräteturnenNote" displayName="GeräteturnenNote" ref="JH18:JH48" totalsRowShown="0" headerRowDxfId="129" dataDxfId="128">
  <autoFilter ref="JH18:JH48"/>
  <tableColumns count="1">
    <tableColumn id="1" name="Note" dataDxfId="130">
      <calculatedColumnFormula>IF(OR(JG19="",GeräteturnenSkalawert[[#This Row],[Skala-Wert]]=Stammdaten!$AX$19),"",INDEX(INDIRECT(JG19),MATCH(GeräteturnenSkalawert[[#This Row],[Skala-Wert]],INDIRECT(JD19),0)))</calculatedColumnFormula>
    </tableColumn>
  </tableColumns>
  <tableStyleInfo name="TableStyleMedium4" showFirstColumn="0" showLastColumn="0" showRowStripes="1" showColumnStripes="0"/>
</table>
</file>

<file path=xl/tables/table88.xml><?xml version="1.0" encoding="utf-8"?>
<table xmlns="http://schemas.openxmlformats.org/spreadsheetml/2006/main" id="89" name="GeräteturnenSkalawert" displayName="GeräteturnenSkalawert" ref="JE18:JE48" totalsRowShown="0" headerRowDxfId="126" dataDxfId="125">
  <autoFilter ref="JE18:JE48"/>
  <tableColumns count="1">
    <tableColumn id="1" name="Skala-Wert" dataDxfId="127">
      <calculatedColumnFormula>IF(OR(JD19="",IZ19=Stammdaten!$AZ$5),"",IF(OR(IZ19=Stammdaten!$AX$22,IZ19=Stammdaten!$AX$19),Stammdaten!$AX$19,IF(ISNA(INDEX(INDIRECT(JD19),MATCH(GeräteturnenGerundet[[#This Row],[Rundung]],INDIRECT(JD19),$JD$16))),IF($JD$16=-1,LARGE(INDIRECT(JD19),1),SMALL(INDIRECT(JD19),1)),INDEX(INDIRECT(JD19),MATCH(GeräteturnenGerundet[[#This Row],[Rundung]],INDIRECT(JD19),$JD$16)))))</calculatedColumnFormula>
    </tableColumn>
  </tableColumns>
  <tableStyleInfo name="TableStyleMedium4" showFirstColumn="0" showLastColumn="0" showRowStripes="1" showColumnStripes="0"/>
</table>
</file>

<file path=xl/tables/table89.xml><?xml version="1.0" encoding="utf-8"?>
<table xmlns="http://schemas.openxmlformats.org/spreadsheetml/2006/main" id="162" name="SechzigmLaufGerundet" displayName="SechzigmLaufGerundet" ref="I18:I48" totalsRowShown="0" headerRowDxfId="123" dataDxfId="122">
  <autoFilter ref="I18:I48"/>
  <tableColumns count="1">
    <tableColumn id="1" name="Rundung" dataDxfId="124">
      <calculatedColumnFormula>IF(I$16,IF(J$16=0.5,MROUND(SechzigmLaufResultat[[#This Row],[Resultat]],J$16),ROUND(SechzigmLaufResultat[[#This Row],[Resultat]],J$16)),ROUNDDOWN(SechzigmLaufResultat[[#This Row],[Resultat]],J$16))</calculatedColumnFormula>
    </tableColumn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138" name="AchtzigmLaufSkalawert" displayName="AchtzigmLaufSkalawert" ref="V18:V48" totalsRowShown="0" headerRowDxfId="317" dataDxfId="316">
  <autoFilter ref="V18:V48"/>
  <tableColumns count="1">
    <tableColumn id="1" name="Skala-Wert" dataDxfId="318">
      <calculatedColumnFormula>IF(U19="","",IF(OR(AchtzigmLaufResultat[[#This Row],[Resultat]]=Stammdaten!$AX$22,AchtzigmLaufResultat[[#This Row],[Resultat]]=Stammdaten!$AX$19),Stammdaten!$AX$19,IF(ISNA(INDEX(INDIRECT(U19),MATCH(AchtzigmLaufGerundet[[#This Row],[Rundung]],INDIRECT(U19),U$18))),IF(U$18=-1,LARGE(INDIRECT(U19),1),SMALL(INDIRECT(U19),1)),INDEX(INDIRECT(U19),MATCH(AchtzigmLaufGerundet[[#This Row],[Rundung]],INDIRECT(U19),U$18)))))</calculatedColumnFormula>
    </tableColumn>
  </tableColumns>
  <tableStyleInfo name="TableStyleMedium4" showFirstColumn="0" showLastColumn="0" showRowStripes="1" showColumnStripes="0"/>
</table>
</file>

<file path=xl/tables/table90.xml><?xml version="1.0" encoding="utf-8"?>
<table xmlns="http://schemas.openxmlformats.org/spreadsheetml/2006/main" id="164" name="AchtzigmLaufGerundet" displayName="AchtzigmLaufGerundet" ref="S18:S48" totalsRowShown="0" headerRowDxfId="120" dataDxfId="119">
  <autoFilter ref="S18:S48"/>
  <tableColumns count="1">
    <tableColumn id="1" name="Rundung" dataDxfId="121">
      <calculatedColumnFormula>IF(S$16,IF(T$16=0.5,MROUND(AchtzigmLaufResultat[[#This Row],[Resultat]],T$16),ROUND(AchtzigmLaufResultat[[#This Row],[Resultat]],T$16)),ROUNDDOWN(AchtzigmLaufResultat[[#This Row],[Resultat]],T$16))</calculatedColumnFormula>
    </tableColumn>
  </tableColumns>
  <tableStyleInfo name="TableStyleMedium4" showFirstColumn="0" showLastColumn="0" showRowStripes="1" showColumnStripes="0"/>
</table>
</file>

<file path=xl/tables/table91.xml><?xml version="1.0" encoding="utf-8"?>
<table xmlns="http://schemas.openxmlformats.org/spreadsheetml/2006/main" id="165" name="ZwölfMinLaufHalleGerundet" displayName="ZwölfMinLaufHalleGerundet" ref="AC18:AC48" totalsRowShown="0" headerRowDxfId="117" dataDxfId="116">
  <autoFilter ref="AC18:AC48"/>
  <tableColumns count="1">
    <tableColumn id="1" name="Rundung" dataDxfId="118">
      <calculatedColumnFormula>IF(AC$16,IF(AD$16=0.5,MROUND(ZwölfMinLaufHalleResultat[[#This Row],[Resultat]],AD$16),ROUND(ZwölfMinLaufHalleResultat[[#This Row],[Resultat]],AD$16)),ROUNDDOWN(ZwölfMinLaufHalleResultat[[#This Row],[Resultat]],AD$16))</calculatedColumnFormula>
    </tableColumn>
  </tableColumns>
  <tableStyleInfo name="TableStyleMedium4" showFirstColumn="0" showLastColumn="0" showRowStripes="1" showColumnStripes="0"/>
</table>
</file>

<file path=xl/tables/table92.xml><?xml version="1.0" encoding="utf-8"?>
<table xmlns="http://schemas.openxmlformats.org/spreadsheetml/2006/main" id="167" name="ZwölfMinLaufimFreienGerundet" displayName="ZwölfMinLaufimFreienGerundet" ref="AM18:AM48" totalsRowShown="0" headerRowDxfId="114" dataDxfId="113">
  <autoFilter ref="AM18:AM48"/>
  <tableColumns count="1">
    <tableColumn id="1" name="Rundung" dataDxfId="115">
      <calculatedColumnFormula>IF(AM$16,IF(AN$16=0.5,MROUND(ZwölfMinLaufimFreienResultat[[#This Row],[Resultat]],AN$16),ROUND(ZwölfMinLaufimFreienResultat[[#This Row],[Resultat]],AN$16)),ROUNDDOWN(ZwölfMinLaufimFreienResultat[[#This Row],[Resultat]],AN$16))</calculatedColumnFormula>
    </tableColumn>
  </tableColumns>
  <tableStyleInfo name="TableStyleMedium4" showFirstColumn="0" showLastColumn="0" showRowStripes="1" showColumnStripes="0"/>
</table>
</file>

<file path=xl/tables/table93.xml><?xml version="1.0" encoding="utf-8"?>
<table xmlns="http://schemas.openxmlformats.org/spreadsheetml/2006/main" id="168" name="HochsprungGerundet" displayName="HochsprungGerundet" ref="AW18:AW48" totalsRowShown="0" headerRowDxfId="111" dataDxfId="110">
  <autoFilter ref="AW18:AW48"/>
  <tableColumns count="1">
    <tableColumn id="1" name="Rundung" dataDxfId="112">
      <calculatedColumnFormula>IF(AW$16,IF(AX$16=0.5,MROUND(HochsprungResultat[[#This Row],[Resultat]],AX$16),ROUND(HochsprungResultat[[#This Row],[Resultat]],AX$16)),ROUNDDOWN(HochsprungResultat[[#This Row],[Resultat]],AX$16))</calculatedColumnFormula>
    </tableColumn>
  </tableColumns>
  <tableStyleInfo name="TableStyleMedium4" showFirstColumn="0" showLastColumn="0" showRowStripes="1" showColumnStripes="0"/>
</table>
</file>

<file path=xl/tables/table94.xml><?xml version="1.0" encoding="utf-8"?>
<table xmlns="http://schemas.openxmlformats.org/spreadsheetml/2006/main" id="170" name="WeitsprungGerundet" displayName="WeitsprungGerundet" ref="BG18:BG48" totalsRowShown="0" headerRowDxfId="108" dataDxfId="107">
  <autoFilter ref="BG18:BG48"/>
  <tableColumns count="1">
    <tableColumn id="1" name="Rundung" dataDxfId="109">
      <calculatedColumnFormula>IF(BG$16,IF(BH$16=0.5,MROUND(WeitsprungResultat[[#This Row],[Resultat]],BH$16),ROUND(WeitsprungResultat[[#This Row],[Resultat]],BH$16)),ROUNDDOWN(WeitsprungResultat[[#This Row],[Resultat]],BH$16))</calculatedColumnFormula>
    </tableColumn>
  </tableColumns>
  <tableStyleInfo name="TableStyleMedium4" showFirstColumn="0" showLastColumn="0" showRowStripes="1" showColumnStripes="0"/>
</table>
</file>

<file path=xl/tables/table95.xml><?xml version="1.0" encoding="utf-8"?>
<table xmlns="http://schemas.openxmlformats.org/spreadsheetml/2006/main" id="171" name="BallwurfGerundet" displayName="BallwurfGerundet" ref="BQ18:BQ48" totalsRowShown="0" headerRowDxfId="105" dataDxfId="104">
  <autoFilter ref="BQ18:BQ48"/>
  <tableColumns count="1">
    <tableColumn id="1" name="Rundung" dataDxfId="106">
      <calculatedColumnFormula>IF(BQ$16,IF(BR$16=0.5,MROUND(BallwurfResultat[[#This Row],[Resultat]],BR$16),ROUND(BallwurfResultat[[#This Row],[Resultat]],BR$16)),ROUNDDOWN(BallwurfResultat[[#This Row],[Resultat]],BR$16))</calculatedColumnFormula>
    </tableColumn>
  </tableColumns>
  <tableStyleInfo name="TableStyleMedium4" showFirstColumn="0" showLastColumn="0" showRowStripes="1" showColumnStripes="0"/>
</table>
</file>

<file path=xl/tables/table96.xml><?xml version="1.0" encoding="utf-8"?>
<table xmlns="http://schemas.openxmlformats.org/spreadsheetml/2006/main" id="173" name="KugelstossenGerundet" displayName="KugelstossenGerundet" ref="CA18:CA48" totalsRowShown="0" headerRowDxfId="102" dataDxfId="101">
  <autoFilter ref="CA18:CA48"/>
  <tableColumns count="1">
    <tableColumn id="1" name="Rundung" dataDxfId="103">
      <calculatedColumnFormula>IF(CA$16,IF(CB$16=0.5,MROUND(KugelstossenResultat[[#This Row],[Resultat]],CB$16),ROUND(KugelstossenResultat[[#This Row],[Resultat]],CB$16)),ROUNDDOWN(KugelstossenResultat[[#This Row],[Resultat]],CB$16))</calculatedColumnFormula>
    </tableColumn>
  </tableColumns>
  <tableStyleInfo name="TableStyleMedium4" showFirstColumn="0" showLastColumn="0" showRowStripes="1" showColumnStripes="0"/>
</table>
</file>

<file path=xl/tables/table97.xml><?xml version="1.0" encoding="utf-8"?>
<table xmlns="http://schemas.openxmlformats.org/spreadsheetml/2006/main" id="174" name="SpeerwurfGerundet" displayName="SpeerwurfGerundet" ref="CK18:CK48" totalsRowShown="0" headerRowDxfId="99" dataDxfId="98">
  <autoFilter ref="CK18:CK48"/>
  <tableColumns count="1">
    <tableColumn id="1" name="Rundung" dataDxfId="100">
      <calculatedColumnFormula>IF(CK$16,IF(CL$16=0.5,MROUND(SpeerwurfResultat[[#This Row],[Resultat]],CL$16),ROUND(SpeerwurfResultat[[#This Row],[Resultat]],CL$16)),ROUNDDOWN(SpeerwurfResultat[[#This Row],[Resultat]],CL$16))</calculatedColumnFormula>
    </tableColumn>
  </tableColumns>
  <tableStyleInfo name="TableStyleMedium4" showFirstColumn="0" showLastColumn="0" showRowStripes="1" showColumnStripes="0"/>
</table>
</file>

<file path=xl/tables/table98.xml><?xml version="1.0" encoding="utf-8"?>
<table xmlns="http://schemas.openxmlformats.org/spreadsheetml/2006/main" id="176" name="GeräteturnenGerundet" displayName="GeräteturnenGerundet" ref="JB18:JB48" totalsRowShown="0" headerRowDxfId="96" dataDxfId="95">
  <autoFilter ref="JB18:JB48"/>
  <tableColumns count="1">
    <tableColumn id="1" name="Rundung" dataDxfId="97">
      <calculatedColumnFormula>IF(JB$16,IF(JC$16=0.5,MROUND(IZ19,$JC$16),ROUND(IZ19,$JC$16)),ROUNDDOWN(IZ19,$JC$16))</calculatedColumnFormula>
    </tableColumn>
  </tableColumns>
  <tableStyleInfo name="TableStyleMedium4" showFirstColumn="0" showLastColumn="0" showRowStripes="1" showColumnStripes="0"/>
</table>
</file>

<file path=xl/tables/table99.xml><?xml version="1.0" encoding="utf-8"?>
<table xmlns="http://schemas.openxmlformats.org/spreadsheetml/2006/main" id="177" name="ParkourGerundet" displayName="ParkourGerundet" ref="JL18:JL48" totalsRowShown="0" headerRowDxfId="93" dataDxfId="92">
  <autoFilter ref="JL18:JL48"/>
  <tableColumns count="1">
    <tableColumn id="1" name="Rundung" dataDxfId="94">
      <calculatedColumnFormula>IF(JL$16,IF(JM$16=0.5,MROUND(ParkourResultat[[#This Row],[Resultat]],JM$16),ROUND(ParkourResultat[[#This Row],[Resultat]],JM$16)),ROUNDDOWN(ParkourResultat[[#This Row],[Resultat]],JM$16))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4.xml"/><Relationship Id="rId21" Type="http://schemas.openxmlformats.org/officeDocument/2006/relationships/table" Target="../tables/table19.xml"/><Relationship Id="rId42" Type="http://schemas.openxmlformats.org/officeDocument/2006/relationships/table" Target="../tables/table40.xml"/><Relationship Id="rId47" Type="http://schemas.openxmlformats.org/officeDocument/2006/relationships/table" Target="../tables/table45.xml"/><Relationship Id="rId63" Type="http://schemas.openxmlformats.org/officeDocument/2006/relationships/table" Target="../tables/table61.xml"/><Relationship Id="rId68" Type="http://schemas.openxmlformats.org/officeDocument/2006/relationships/table" Target="../tables/table66.xml"/><Relationship Id="rId84" Type="http://schemas.openxmlformats.org/officeDocument/2006/relationships/table" Target="../tables/table82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2" Type="http://schemas.openxmlformats.org/officeDocument/2006/relationships/vmlDrawing" Target="../drawings/vmlDrawing1.vml"/><Relationship Id="rId16" Type="http://schemas.openxmlformats.org/officeDocument/2006/relationships/table" Target="../tables/table14.xml"/><Relationship Id="rId29" Type="http://schemas.openxmlformats.org/officeDocument/2006/relationships/table" Target="../tables/table27.xml"/><Relationship Id="rId107" Type="http://schemas.openxmlformats.org/officeDocument/2006/relationships/table" Target="../tables/table105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45" Type="http://schemas.openxmlformats.org/officeDocument/2006/relationships/table" Target="../tables/table43.xml"/><Relationship Id="rId53" Type="http://schemas.openxmlformats.org/officeDocument/2006/relationships/table" Target="../tables/table51.xml"/><Relationship Id="rId58" Type="http://schemas.openxmlformats.org/officeDocument/2006/relationships/table" Target="../tables/table56.xml"/><Relationship Id="rId66" Type="http://schemas.openxmlformats.org/officeDocument/2006/relationships/table" Target="../tables/table64.xml"/><Relationship Id="rId74" Type="http://schemas.openxmlformats.org/officeDocument/2006/relationships/table" Target="../tables/table72.xml"/><Relationship Id="rId79" Type="http://schemas.openxmlformats.org/officeDocument/2006/relationships/table" Target="../tables/table77.xml"/><Relationship Id="rId87" Type="http://schemas.openxmlformats.org/officeDocument/2006/relationships/table" Target="../tables/table85.xml"/><Relationship Id="rId102" Type="http://schemas.openxmlformats.org/officeDocument/2006/relationships/table" Target="../tables/table100.xml"/><Relationship Id="rId110" Type="http://schemas.openxmlformats.org/officeDocument/2006/relationships/table" Target="../tables/table108.xml"/><Relationship Id="rId5" Type="http://schemas.openxmlformats.org/officeDocument/2006/relationships/table" Target="../tables/table3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90" Type="http://schemas.openxmlformats.org/officeDocument/2006/relationships/table" Target="../tables/table88.xml"/><Relationship Id="rId95" Type="http://schemas.openxmlformats.org/officeDocument/2006/relationships/table" Target="../tables/table93.xml"/><Relationship Id="rId19" Type="http://schemas.openxmlformats.org/officeDocument/2006/relationships/table" Target="../tables/table1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43" Type="http://schemas.openxmlformats.org/officeDocument/2006/relationships/table" Target="../tables/table41.xml"/><Relationship Id="rId48" Type="http://schemas.openxmlformats.org/officeDocument/2006/relationships/table" Target="../tables/table46.xml"/><Relationship Id="rId56" Type="http://schemas.openxmlformats.org/officeDocument/2006/relationships/table" Target="../tables/table54.xml"/><Relationship Id="rId64" Type="http://schemas.openxmlformats.org/officeDocument/2006/relationships/table" Target="../tables/table62.xml"/><Relationship Id="rId69" Type="http://schemas.openxmlformats.org/officeDocument/2006/relationships/table" Target="../tables/table67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105" Type="http://schemas.openxmlformats.org/officeDocument/2006/relationships/table" Target="../tables/table103.xml"/><Relationship Id="rId113" Type="http://schemas.openxmlformats.org/officeDocument/2006/relationships/table" Target="../tables/table111.xml"/><Relationship Id="rId8" Type="http://schemas.openxmlformats.org/officeDocument/2006/relationships/table" Target="../tables/table6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80" Type="http://schemas.openxmlformats.org/officeDocument/2006/relationships/table" Target="../tables/table78.xml"/><Relationship Id="rId85" Type="http://schemas.openxmlformats.org/officeDocument/2006/relationships/table" Target="../tables/table83.xml"/><Relationship Id="rId93" Type="http://schemas.openxmlformats.org/officeDocument/2006/relationships/table" Target="../tables/table91.xml"/><Relationship Id="rId98" Type="http://schemas.openxmlformats.org/officeDocument/2006/relationships/table" Target="../tables/table9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Relationship Id="rId46" Type="http://schemas.openxmlformats.org/officeDocument/2006/relationships/table" Target="../tables/table44.xml"/><Relationship Id="rId59" Type="http://schemas.openxmlformats.org/officeDocument/2006/relationships/table" Target="../tables/table57.xml"/><Relationship Id="rId67" Type="http://schemas.openxmlformats.org/officeDocument/2006/relationships/table" Target="../tables/table65.xml"/><Relationship Id="rId103" Type="http://schemas.openxmlformats.org/officeDocument/2006/relationships/table" Target="../tables/table101.xml"/><Relationship Id="rId108" Type="http://schemas.openxmlformats.org/officeDocument/2006/relationships/table" Target="../tables/table106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54" Type="http://schemas.openxmlformats.org/officeDocument/2006/relationships/table" Target="../tables/table52.xml"/><Relationship Id="rId62" Type="http://schemas.openxmlformats.org/officeDocument/2006/relationships/table" Target="../tables/table60.xml"/><Relationship Id="rId70" Type="http://schemas.openxmlformats.org/officeDocument/2006/relationships/table" Target="../tables/table68.xml"/><Relationship Id="rId75" Type="http://schemas.openxmlformats.org/officeDocument/2006/relationships/table" Target="../tables/table73.xml"/><Relationship Id="rId83" Type="http://schemas.openxmlformats.org/officeDocument/2006/relationships/table" Target="../tables/table81.xml"/><Relationship Id="rId88" Type="http://schemas.openxmlformats.org/officeDocument/2006/relationships/table" Target="../tables/table86.xml"/><Relationship Id="rId91" Type="http://schemas.openxmlformats.org/officeDocument/2006/relationships/table" Target="../tables/table89.xml"/><Relationship Id="rId96" Type="http://schemas.openxmlformats.org/officeDocument/2006/relationships/table" Target="../tables/table94.xml"/><Relationship Id="rId111" Type="http://schemas.openxmlformats.org/officeDocument/2006/relationships/table" Target="../tables/table109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49" Type="http://schemas.openxmlformats.org/officeDocument/2006/relationships/table" Target="../tables/table47.xml"/><Relationship Id="rId57" Type="http://schemas.openxmlformats.org/officeDocument/2006/relationships/table" Target="../tables/table55.xml"/><Relationship Id="rId106" Type="http://schemas.openxmlformats.org/officeDocument/2006/relationships/table" Target="../tables/table104.xml"/><Relationship Id="rId114" Type="http://schemas.openxmlformats.org/officeDocument/2006/relationships/comments" Target="../comments1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44" Type="http://schemas.openxmlformats.org/officeDocument/2006/relationships/table" Target="../tables/table42.xml"/><Relationship Id="rId52" Type="http://schemas.openxmlformats.org/officeDocument/2006/relationships/table" Target="../tables/table50.xml"/><Relationship Id="rId60" Type="http://schemas.openxmlformats.org/officeDocument/2006/relationships/table" Target="../tables/table58.xml"/><Relationship Id="rId65" Type="http://schemas.openxmlformats.org/officeDocument/2006/relationships/table" Target="../tables/table63.xml"/><Relationship Id="rId73" Type="http://schemas.openxmlformats.org/officeDocument/2006/relationships/table" Target="../tables/table71.xml"/><Relationship Id="rId78" Type="http://schemas.openxmlformats.org/officeDocument/2006/relationships/table" Target="../tables/table76.xml"/><Relationship Id="rId81" Type="http://schemas.openxmlformats.org/officeDocument/2006/relationships/table" Target="../tables/table79.xml"/><Relationship Id="rId86" Type="http://schemas.openxmlformats.org/officeDocument/2006/relationships/table" Target="../tables/table84.xml"/><Relationship Id="rId94" Type="http://schemas.openxmlformats.org/officeDocument/2006/relationships/table" Target="../tables/table92.xml"/><Relationship Id="rId99" Type="http://schemas.openxmlformats.org/officeDocument/2006/relationships/table" Target="../tables/table97.xml"/><Relationship Id="rId101" Type="http://schemas.openxmlformats.org/officeDocument/2006/relationships/table" Target="../tables/table9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109" Type="http://schemas.openxmlformats.org/officeDocument/2006/relationships/table" Target="../tables/table107.xml"/><Relationship Id="rId34" Type="http://schemas.openxmlformats.org/officeDocument/2006/relationships/table" Target="../tables/table32.xml"/><Relationship Id="rId50" Type="http://schemas.openxmlformats.org/officeDocument/2006/relationships/table" Target="../tables/table48.xml"/><Relationship Id="rId55" Type="http://schemas.openxmlformats.org/officeDocument/2006/relationships/table" Target="../tables/table53.xml"/><Relationship Id="rId76" Type="http://schemas.openxmlformats.org/officeDocument/2006/relationships/table" Target="../tables/table74.xml"/><Relationship Id="rId97" Type="http://schemas.openxmlformats.org/officeDocument/2006/relationships/table" Target="../tables/table95.xml"/><Relationship Id="rId104" Type="http://schemas.openxmlformats.org/officeDocument/2006/relationships/table" Target="../tables/table102.xml"/><Relationship Id="rId7" Type="http://schemas.openxmlformats.org/officeDocument/2006/relationships/table" Target="../tables/table5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2.xml"/><Relationship Id="rId13" Type="http://schemas.openxmlformats.org/officeDocument/2006/relationships/table" Target="../tables/table147.xml"/><Relationship Id="rId18" Type="http://schemas.openxmlformats.org/officeDocument/2006/relationships/table" Target="../tables/table152.xml"/><Relationship Id="rId3" Type="http://schemas.openxmlformats.org/officeDocument/2006/relationships/table" Target="../tables/table137.xml"/><Relationship Id="rId7" Type="http://schemas.openxmlformats.org/officeDocument/2006/relationships/table" Target="../tables/table141.xml"/><Relationship Id="rId12" Type="http://schemas.openxmlformats.org/officeDocument/2006/relationships/table" Target="../tables/table146.xml"/><Relationship Id="rId17" Type="http://schemas.openxmlformats.org/officeDocument/2006/relationships/table" Target="../tables/table151.xml"/><Relationship Id="rId2" Type="http://schemas.openxmlformats.org/officeDocument/2006/relationships/table" Target="../tables/table136.xml"/><Relationship Id="rId16" Type="http://schemas.openxmlformats.org/officeDocument/2006/relationships/table" Target="../tables/table15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0.xml"/><Relationship Id="rId11" Type="http://schemas.openxmlformats.org/officeDocument/2006/relationships/table" Target="../tables/table145.xml"/><Relationship Id="rId5" Type="http://schemas.openxmlformats.org/officeDocument/2006/relationships/table" Target="../tables/table139.xml"/><Relationship Id="rId15" Type="http://schemas.openxmlformats.org/officeDocument/2006/relationships/table" Target="../tables/table149.xml"/><Relationship Id="rId10" Type="http://schemas.openxmlformats.org/officeDocument/2006/relationships/table" Target="../tables/table144.xml"/><Relationship Id="rId19" Type="http://schemas.openxmlformats.org/officeDocument/2006/relationships/table" Target="../tables/table153.xml"/><Relationship Id="rId4" Type="http://schemas.openxmlformats.org/officeDocument/2006/relationships/table" Target="../tables/table138.xml"/><Relationship Id="rId9" Type="http://schemas.openxmlformats.org/officeDocument/2006/relationships/table" Target="../tables/table143.xml"/><Relationship Id="rId14" Type="http://schemas.openxmlformats.org/officeDocument/2006/relationships/table" Target="../tables/table14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5.xml"/><Relationship Id="rId2" Type="http://schemas.openxmlformats.org/officeDocument/2006/relationships/table" Target="../tables/table154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57.xml"/><Relationship Id="rId4" Type="http://schemas.openxmlformats.org/officeDocument/2006/relationships/table" Target="../tables/table15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0.xml"/><Relationship Id="rId2" Type="http://schemas.openxmlformats.org/officeDocument/2006/relationships/table" Target="../tables/table159.xml"/><Relationship Id="rId1" Type="http://schemas.openxmlformats.org/officeDocument/2006/relationships/table" Target="../tables/table158.xml"/><Relationship Id="rId4" Type="http://schemas.openxmlformats.org/officeDocument/2006/relationships/table" Target="../tables/table16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3.xml"/><Relationship Id="rId7" Type="http://schemas.openxmlformats.org/officeDocument/2006/relationships/table" Target="../tables/table167.xml"/><Relationship Id="rId2" Type="http://schemas.openxmlformats.org/officeDocument/2006/relationships/table" Target="../tables/table16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66.xml"/><Relationship Id="rId5" Type="http://schemas.openxmlformats.org/officeDocument/2006/relationships/table" Target="../tables/table165.xml"/><Relationship Id="rId4" Type="http://schemas.openxmlformats.org/officeDocument/2006/relationships/table" Target="../tables/table16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9.xml"/><Relationship Id="rId7" Type="http://schemas.openxmlformats.org/officeDocument/2006/relationships/table" Target="../tables/table173.xml"/><Relationship Id="rId2" Type="http://schemas.openxmlformats.org/officeDocument/2006/relationships/table" Target="../tables/table168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72.xml"/><Relationship Id="rId5" Type="http://schemas.openxmlformats.org/officeDocument/2006/relationships/table" Target="../tables/table171.xml"/><Relationship Id="rId4" Type="http://schemas.openxmlformats.org/officeDocument/2006/relationships/table" Target="../tables/table170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0.xml"/><Relationship Id="rId3" Type="http://schemas.openxmlformats.org/officeDocument/2006/relationships/table" Target="../tables/table175.xml"/><Relationship Id="rId7" Type="http://schemas.openxmlformats.org/officeDocument/2006/relationships/table" Target="../tables/table179.xml"/><Relationship Id="rId2" Type="http://schemas.openxmlformats.org/officeDocument/2006/relationships/table" Target="../tables/table174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178.xml"/><Relationship Id="rId11" Type="http://schemas.openxmlformats.org/officeDocument/2006/relationships/table" Target="../tables/table183.xml"/><Relationship Id="rId5" Type="http://schemas.openxmlformats.org/officeDocument/2006/relationships/table" Target="../tables/table177.xml"/><Relationship Id="rId10" Type="http://schemas.openxmlformats.org/officeDocument/2006/relationships/table" Target="../tables/table182.xml"/><Relationship Id="rId4" Type="http://schemas.openxmlformats.org/officeDocument/2006/relationships/table" Target="../tables/table176.xml"/><Relationship Id="rId9" Type="http://schemas.openxmlformats.org/officeDocument/2006/relationships/table" Target="../tables/table18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0.xml"/><Relationship Id="rId3" Type="http://schemas.openxmlformats.org/officeDocument/2006/relationships/table" Target="../tables/table185.xml"/><Relationship Id="rId7" Type="http://schemas.openxmlformats.org/officeDocument/2006/relationships/table" Target="../tables/table189.xml"/><Relationship Id="rId2" Type="http://schemas.openxmlformats.org/officeDocument/2006/relationships/table" Target="../tables/table184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88.xml"/><Relationship Id="rId11" Type="http://schemas.openxmlformats.org/officeDocument/2006/relationships/table" Target="../tables/table193.xml"/><Relationship Id="rId5" Type="http://schemas.openxmlformats.org/officeDocument/2006/relationships/table" Target="../tables/table187.xml"/><Relationship Id="rId10" Type="http://schemas.openxmlformats.org/officeDocument/2006/relationships/table" Target="../tables/table192.xml"/><Relationship Id="rId4" Type="http://schemas.openxmlformats.org/officeDocument/2006/relationships/table" Target="../tables/table186.xml"/><Relationship Id="rId9" Type="http://schemas.openxmlformats.org/officeDocument/2006/relationships/table" Target="../tables/table19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5.xml"/><Relationship Id="rId1" Type="http://schemas.openxmlformats.org/officeDocument/2006/relationships/table" Target="../tables/table19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7.xml"/><Relationship Id="rId2" Type="http://schemas.openxmlformats.org/officeDocument/2006/relationships/table" Target="../tables/table19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4.xml"/><Relationship Id="rId3" Type="http://schemas.openxmlformats.org/officeDocument/2006/relationships/table" Target="../tables/table199.xml"/><Relationship Id="rId7" Type="http://schemas.openxmlformats.org/officeDocument/2006/relationships/table" Target="../tables/table203.xml"/><Relationship Id="rId2" Type="http://schemas.openxmlformats.org/officeDocument/2006/relationships/table" Target="../tables/table198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202.xml"/><Relationship Id="rId5" Type="http://schemas.openxmlformats.org/officeDocument/2006/relationships/table" Target="../tables/table201.xml"/><Relationship Id="rId4" Type="http://schemas.openxmlformats.org/officeDocument/2006/relationships/table" Target="../tables/table200.xml"/><Relationship Id="rId9" Type="http://schemas.openxmlformats.org/officeDocument/2006/relationships/table" Target="../tables/table20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2.xml"/><Relationship Id="rId13" Type="http://schemas.openxmlformats.org/officeDocument/2006/relationships/table" Target="../tables/table217.xml"/><Relationship Id="rId18" Type="http://schemas.openxmlformats.org/officeDocument/2006/relationships/table" Target="../tables/table222.xml"/><Relationship Id="rId3" Type="http://schemas.openxmlformats.org/officeDocument/2006/relationships/table" Target="../tables/table207.xml"/><Relationship Id="rId21" Type="http://schemas.openxmlformats.org/officeDocument/2006/relationships/table" Target="../tables/table225.xml"/><Relationship Id="rId7" Type="http://schemas.openxmlformats.org/officeDocument/2006/relationships/table" Target="../tables/table211.xml"/><Relationship Id="rId12" Type="http://schemas.openxmlformats.org/officeDocument/2006/relationships/table" Target="../tables/table216.xml"/><Relationship Id="rId17" Type="http://schemas.openxmlformats.org/officeDocument/2006/relationships/table" Target="../tables/table221.xml"/><Relationship Id="rId2" Type="http://schemas.openxmlformats.org/officeDocument/2006/relationships/table" Target="../tables/table206.xml"/><Relationship Id="rId16" Type="http://schemas.openxmlformats.org/officeDocument/2006/relationships/table" Target="../tables/table220.xml"/><Relationship Id="rId20" Type="http://schemas.openxmlformats.org/officeDocument/2006/relationships/table" Target="../tables/table224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210.xml"/><Relationship Id="rId11" Type="http://schemas.openxmlformats.org/officeDocument/2006/relationships/table" Target="../tables/table215.xml"/><Relationship Id="rId24" Type="http://schemas.openxmlformats.org/officeDocument/2006/relationships/table" Target="../tables/table228.xml"/><Relationship Id="rId5" Type="http://schemas.openxmlformats.org/officeDocument/2006/relationships/table" Target="../tables/table209.xml"/><Relationship Id="rId15" Type="http://schemas.openxmlformats.org/officeDocument/2006/relationships/table" Target="../tables/table219.xml"/><Relationship Id="rId23" Type="http://schemas.openxmlformats.org/officeDocument/2006/relationships/table" Target="../tables/table227.xml"/><Relationship Id="rId10" Type="http://schemas.openxmlformats.org/officeDocument/2006/relationships/table" Target="../tables/table214.xml"/><Relationship Id="rId19" Type="http://schemas.openxmlformats.org/officeDocument/2006/relationships/table" Target="../tables/table223.xml"/><Relationship Id="rId4" Type="http://schemas.openxmlformats.org/officeDocument/2006/relationships/table" Target="../tables/table208.xml"/><Relationship Id="rId9" Type="http://schemas.openxmlformats.org/officeDocument/2006/relationships/table" Target="../tables/table213.xml"/><Relationship Id="rId14" Type="http://schemas.openxmlformats.org/officeDocument/2006/relationships/table" Target="../tables/table218.xml"/><Relationship Id="rId22" Type="http://schemas.openxmlformats.org/officeDocument/2006/relationships/table" Target="../tables/table226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1.xml"/><Relationship Id="rId18" Type="http://schemas.openxmlformats.org/officeDocument/2006/relationships/table" Target="../tables/table246.xml"/><Relationship Id="rId26" Type="http://schemas.openxmlformats.org/officeDocument/2006/relationships/table" Target="../tables/table254.xml"/><Relationship Id="rId39" Type="http://schemas.openxmlformats.org/officeDocument/2006/relationships/table" Target="../tables/table267.xml"/><Relationship Id="rId21" Type="http://schemas.openxmlformats.org/officeDocument/2006/relationships/table" Target="../tables/table249.xml"/><Relationship Id="rId34" Type="http://schemas.openxmlformats.org/officeDocument/2006/relationships/table" Target="../tables/table262.xml"/><Relationship Id="rId42" Type="http://schemas.openxmlformats.org/officeDocument/2006/relationships/table" Target="../tables/table270.xml"/><Relationship Id="rId47" Type="http://schemas.openxmlformats.org/officeDocument/2006/relationships/table" Target="../tables/table275.xml"/><Relationship Id="rId50" Type="http://schemas.openxmlformats.org/officeDocument/2006/relationships/table" Target="../tables/table278.xml"/><Relationship Id="rId55" Type="http://schemas.openxmlformats.org/officeDocument/2006/relationships/table" Target="../tables/table283.xml"/><Relationship Id="rId7" Type="http://schemas.openxmlformats.org/officeDocument/2006/relationships/table" Target="../tables/table235.xml"/><Relationship Id="rId2" Type="http://schemas.openxmlformats.org/officeDocument/2006/relationships/table" Target="../tables/table230.xml"/><Relationship Id="rId16" Type="http://schemas.openxmlformats.org/officeDocument/2006/relationships/table" Target="../tables/table244.xml"/><Relationship Id="rId20" Type="http://schemas.openxmlformats.org/officeDocument/2006/relationships/table" Target="../tables/table248.xml"/><Relationship Id="rId29" Type="http://schemas.openxmlformats.org/officeDocument/2006/relationships/table" Target="../tables/table257.xml"/><Relationship Id="rId41" Type="http://schemas.openxmlformats.org/officeDocument/2006/relationships/table" Target="../tables/table269.xml"/><Relationship Id="rId54" Type="http://schemas.openxmlformats.org/officeDocument/2006/relationships/table" Target="../tables/table282.xml"/><Relationship Id="rId62" Type="http://schemas.openxmlformats.org/officeDocument/2006/relationships/table" Target="../tables/table290.xml"/><Relationship Id="rId1" Type="http://schemas.openxmlformats.org/officeDocument/2006/relationships/table" Target="../tables/table229.xml"/><Relationship Id="rId6" Type="http://schemas.openxmlformats.org/officeDocument/2006/relationships/table" Target="../tables/table234.xml"/><Relationship Id="rId11" Type="http://schemas.openxmlformats.org/officeDocument/2006/relationships/table" Target="../tables/table239.xml"/><Relationship Id="rId24" Type="http://schemas.openxmlformats.org/officeDocument/2006/relationships/table" Target="../tables/table252.xml"/><Relationship Id="rId32" Type="http://schemas.openxmlformats.org/officeDocument/2006/relationships/table" Target="../tables/table260.xml"/><Relationship Id="rId37" Type="http://schemas.openxmlformats.org/officeDocument/2006/relationships/table" Target="../tables/table265.xml"/><Relationship Id="rId40" Type="http://schemas.openxmlformats.org/officeDocument/2006/relationships/table" Target="../tables/table268.xml"/><Relationship Id="rId45" Type="http://schemas.openxmlformats.org/officeDocument/2006/relationships/table" Target="../tables/table273.xml"/><Relationship Id="rId53" Type="http://schemas.openxmlformats.org/officeDocument/2006/relationships/table" Target="../tables/table281.xml"/><Relationship Id="rId58" Type="http://schemas.openxmlformats.org/officeDocument/2006/relationships/table" Target="../tables/table286.xml"/><Relationship Id="rId5" Type="http://schemas.openxmlformats.org/officeDocument/2006/relationships/table" Target="../tables/table233.xml"/><Relationship Id="rId15" Type="http://schemas.openxmlformats.org/officeDocument/2006/relationships/table" Target="../tables/table243.xml"/><Relationship Id="rId23" Type="http://schemas.openxmlformats.org/officeDocument/2006/relationships/table" Target="../tables/table251.xml"/><Relationship Id="rId28" Type="http://schemas.openxmlformats.org/officeDocument/2006/relationships/table" Target="../tables/table256.xml"/><Relationship Id="rId36" Type="http://schemas.openxmlformats.org/officeDocument/2006/relationships/table" Target="../tables/table264.xml"/><Relationship Id="rId49" Type="http://schemas.openxmlformats.org/officeDocument/2006/relationships/table" Target="../tables/table277.xml"/><Relationship Id="rId57" Type="http://schemas.openxmlformats.org/officeDocument/2006/relationships/table" Target="../tables/table285.xml"/><Relationship Id="rId61" Type="http://schemas.openxmlformats.org/officeDocument/2006/relationships/table" Target="../tables/table289.xml"/><Relationship Id="rId10" Type="http://schemas.openxmlformats.org/officeDocument/2006/relationships/table" Target="../tables/table238.xml"/><Relationship Id="rId19" Type="http://schemas.openxmlformats.org/officeDocument/2006/relationships/table" Target="../tables/table247.xml"/><Relationship Id="rId31" Type="http://schemas.openxmlformats.org/officeDocument/2006/relationships/table" Target="../tables/table259.xml"/><Relationship Id="rId44" Type="http://schemas.openxmlformats.org/officeDocument/2006/relationships/table" Target="../tables/table272.xml"/><Relationship Id="rId52" Type="http://schemas.openxmlformats.org/officeDocument/2006/relationships/table" Target="../tables/table280.xml"/><Relationship Id="rId60" Type="http://schemas.openxmlformats.org/officeDocument/2006/relationships/table" Target="../tables/table288.xml"/><Relationship Id="rId4" Type="http://schemas.openxmlformats.org/officeDocument/2006/relationships/table" Target="../tables/table232.xml"/><Relationship Id="rId9" Type="http://schemas.openxmlformats.org/officeDocument/2006/relationships/table" Target="../tables/table237.xml"/><Relationship Id="rId14" Type="http://schemas.openxmlformats.org/officeDocument/2006/relationships/table" Target="../tables/table242.xml"/><Relationship Id="rId22" Type="http://schemas.openxmlformats.org/officeDocument/2006/relationships/table" Target="../tables/table250.xml"/><Relationship Id="rId27" Type="http://schemas.openxmlformats.org/officeDocument/2006/relationships/table" Target="../tables/table255.xml"/><Relationship Id="rId30" Type="http://schemas.openxmlformats.org/officeDocument/2006/relationships/table" Target="../tables/table258.xml"/><Relationship Id="rId35" Type="http://schemas.openxmlformats.org/officeDocument/2006/relationships/table" Target="../tables/table263.xml"/><Relationship Id="rId43" Type="http://schemas.openxmlformats.org/officeDocument/2006/relationships/table" Target="../tables/table271.xml"/><Relationship Id="rId48" Type="http://schemas.openxmlformats.org/officeDocument/2006/relationships/table" Target="../tables/table276.xml"/><Relationship Id="rId56" Type="http://schemas.openxmlformats.org/officeDocument/2006/relationships/table" Target="../tables/table284.xml"/><Relationship Id="rId8" Type="http://schemas.openxmlformats.org/officeDocument/2006/relationships/table" Target="../tables/table236.xml"/><Relationship Id="rId51" Type="http://schemas.openxmlformats.org/officeDocument/2006/relationships/table" Target="../tables/table279.xml"/><Relationship Id="rId3" Type="http://schemas.openxmlformats.org/officeDocument/2006/relationships/table" Target="../tables/table231.xml"/><Relationship Id="rId12" Type="http://schemas.openxmlformats.org/officeDocument/2006/relationships/table" Target="../tables/table240.xml"/><Relationship Id="rId17" Type="http://schemas.openxmlformats.org/officeDocument/2006/relationships/table" Target="../tables/table245.xml"/><Relationship Id="rId25" Type="http://schemas.openxmlformats.org/officeDocument/2006/relationships/table" Target="../tables/table253.xml"/><Relationship Id="rId33" Type="http://schemas.openxmlformats.org/officeDocument/2006/relationships/table" Target="../tables/table261.xml"/><Relationship Id="rId38" Type="http://schemas.openxmlformats.org/officeDocument/2006/relationships/table" Target="../tables/table266.xml"/><Relationship Id="rId46" Type="http://schemas.openxmlformats.org/officeDocument/2006/relationships/table" Target="../tables/table274.xml"/><Relationship Id="rId59" Type="http://schemas.openxmlformats.org/officeDocument/2006/relationships/table" Target="../tables/table28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4.xml"/><Relationship Id="rId2" Type="http://schemas.openxmlformats.org/officeDocument/2006/relationships/table" Target="../tables/table11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17.xml"/><Relationship Id="rId5" Type="http://schemas.openxmlformats.org/officeDocument/2006/relationships/table" Target="../tables/table116.xml"/><Relationship Id="rId4" Type="http://schemas.openxmlformats.org/officeDocument/2006/relationships/table" Target="../tables/table11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13" Type="http://schemas.openxmlformats.org/officeDocument/2006/relationships/table" Target="../tables/table129.xml"/><Relationship Id="rId18" Type="http://schemas.openxmlformats.org/officeDocument/2006/relationships/table" Target="../tables/table134.xml"/><Relationship Id="rId3" Type="http://schemas.openxmlformats.org/officeDocument/2006/relationships/table" Target="../tables/table119.xml"/><Relationship Id="rId7" Type="http://schemas.openxmlformats.org/officeDocument/2006/relationships/table" Target="../tables/table123.xml"/><Relationship Id="rId12" Type="http://schemas.openxmlformats.org/officeDocument/2006/relationships/table" Target="../tables/table128.xml"/><Relationship Id="rId17" Type="http://schemas.openxmlformats.org/officeDocument/2006/relationships/table" Target="../tables/table133.xml"/><Relationship Id="rId2" Type="http://schemas.openxmlformats.org/officeDocument/2006/relationships/table" Target="../tables/table118.xml"/><Relationship Id="rId16" Type="http://schemas.openxmlformats.org/officeDocument/2006/relationships/table" Target="../tables/table132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22.xml"/><Relationship Id="rId11" Type="http://schemas.openxmlformats.org/officeDocument/2006/relationships/table" Target="../tables/table127.xml"/><Relationship Id="rId5" Type="http://schemas.openxmlformats.org/officeDocument/2006/relationships/table" Target="../tables/table121.xml"/><Relationship Id="rId15" Type="http://schemas.openxmlformats.org/officeDocument/2006/relationships/table" Target="../tables/table131.xml"/><Relationship Id="rId10" Type="http://schemas.openxmlformats.org/officeDocument/2006/relationships/table" Target="../tables/table126.xml"/><Relationship Id="rId19" Type="http://schemas.openxmlformats.org/officeDocument/2006/relationships/table" Target="../tables/table135.xml"/><Relationship Id="rId4" Type="http://schemas.openxmlformats.org/officeDocument/2006/relationships/table" Target="../tables/table120.xml"/><Relationship Id="rId9" Type="http://schemas.openxmlformats.org/officeDocument/2006/relationships/table" Target="../tables/table125.xml"/><Relationship Id="rId14" Type="http://schemas.openxmlformats.org/officeDocument/2006/relationships/table" Target="../tables/table13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pageSetUpPr fitToPage="1"/>
  </sheetPr>
  <dimension ref="A1:VU59"/>
  <sheetViews>
    <sheetView showGridLines="0" showRowColHeaders="0" tabSelected="1" showRuler="0" zoomScale="77" zoomScaleNormal="77" zoomScaleSheetLayoutView="25" zoomScalePageLayoutView="70" workbookViewId="0">
      <pane xSplit="6" topLeftCell="G1" activePane="topRight" state="frozen"/>
      <selection activeCell="A6" sqref="A6"/>
      <selection pane="topRight" activeCell="C10" sqref="C10"/>
    </sheetView>
  </sheetViews>
  <sheetFormatPr baseColWidth="10" defaultColWidth="0" defaultRowHeight="14.4" zeroHeight="1" x14ac:dyDescent="0.3"/>
  <cols>
    <col min="1" max="1" width="6.6640625" style="18" customWidth="1"/>
    <col min="2" max="3" width="26.6640625" style="18" customWidth="1"/>
    <col min="4" max="4" width="0.6640625" style="18" customWidth="1"/>
    <col min="5" max="5" width="26.6640625" style="18" customWidth="1"/>
    <col min="6" max="6" width="2.6640625" style="18" customWidth="1"/>
    <col min="7" max="7" width="11.6640625" style="18" customWidth="1"/>
    <col min="8" max="8" width="0.6640625" style="18" customWidth="1"/>
    <col min="9" max="9" width="11.6640625" style="18" hidden="1" customWidth="1"/>
    <col min="10" max="10" width="3.6640625" style="18" hidden="1" customWidth="1"/>
    <col min="11" max="11" width="24.6640625" style="18" hidden="1" customWidth="1"/>
    <col min="12" max="12" width="11.6640625" style="18" customWidth="1"/>
    <col min="13" max="13" width="0.6640625" style="18" customWidth="1"/>
    <col min="14" max="14" width="24.6640625" style="18" hidden="1" customWidth="1"/>
    <col min="15" max="15" width="11.6640625" style="18" customWidth="1"/>
    <col min="16" max="16" width="0.6640625" style="18" customWidth="1"/>
    <col min="17" max="17" width="11.6640625" style="18" customWidth="1"/>
    <col min="18" max="18" width="0.6640625" style="18" customWidth="1"/>
    <col min="19" max="19" width="11.6640625" style="18" hidden="1" customWidth="1"/>
    <col min="20" max="20" width="3.6640625" style="18" hidden="1" customWidth="1"/>
    <col min="21" max="21" width="24.6640625" style="18" hidden="1" customWidth="1"/>
    <col min="22" max="22" width="11.6640625" style="18" customWidth="1"/>
    <col min="23" max="23" width="0.6640625" style="18" customWidth="1"/>
    <col min="24" max="24" width="24.6640625" style="18" hidden="1" customWidth="1"/>
    <col min="25" max="25" width="11.6640625" style="18" customWidth="1"/>
    <col min="26" max="26" width="0.6640625" style="18" customWidth="1"/>
    <col min="27" max="27" width="11.6640625" style="18" customWidth="1"/>
    <col min="28" max="28" width="0.6640625" style="18" customWidth="1"/>
    <col min="29" max="29" width="11.6640625" style="18" hidden="1" customWidth="1"/>
    <col min="30" max="30" width="3.6640625" style="18" hidden="1" customWidth="1"/>
    <col min="31" max="31" width="24.6640625" style="18" hidden="1" customWidth="1"/>
    <col min="32" max="32" width="11.6640625" style="18" customWidth="1"/>
    <col min="33" max="33" width="0.6640625" style="18" customWidth="1"/>
    <col min="34" max="34" width="24.6640625" style="18" hidden="1" customWidth="1"/>
    <col min="35" max="35" width="11.6640625" style="18" customWidth="1"/>
    <col min="36" max="36" width="0.6640625" style="18" customWidth="1"/>
    <col min="37" max="37" width="11.6640625" style="18" customWidth="1"/>
    <col min="38" max="38" width="0.6640625" style="18" customWidth="1"/>
    <col min="39" max="39" width="11.6640625" style="18" hidden="1" customWidth="1"/>
    <col min="40" max="40" width="3.6640625" style="18" hidden="1" customWidth="1"/>
    <col min="41" max="41" width="24.6640625" style="18" hidden="1" customWidth="1"/>
    <col min="42" max="42" width="11.6640625" style="18" customWidth="1"/>
    <col min="43" max="43" width="0.6640625" style="18" customWidth="1"/>
    <col min="44" max="44" width="24.6640625" style="18" hidden="1" customWidth="1"/>
    <col min="45" max="45" width="11.6640625" style="18" customWidth="1"/>
    <col min="46" max="46" width="0.6640625" style="18" customWidth="1"/>
    <col min="47" max="47" width="11.6640625" style="18" customWidth="1"/>
    <col min="48" max="48" width="0.6640625" style="18" customWidth="1"/>
    <col min="49" max="49" width="11.6640625" style="18" hidden="1" customWidth="1"/>
    <col min="50" max="50" width="3.6640625" style="18" hidden="1" customWidth="1"/>
    <col min="51" max="51" width="24.6640625" style="18" hidden="1" customWidth="1"/>
    <col min="52" max="52" width="11.6640625" style="18" customWidth="1"/>
    <col min="53" max="53" width="0.6640625" style="18" customWidth="1"/>
    <col min="54" max="54" width="24.6640625" style="18" hidden="1" customWidth="1"/>
    <col min="55" max="55" width="11.6640625" style="18" customWidth="1"/>
    <col min="56" max="56" width="0.6640625" style="18" customWidth="1"/>
    <col min="57" max="57" width="11.6640625" style="18" customWidth="1"/>
    <col min="58" max="58" width="0.6640625" style="18" customWidth="1"/>
    <col min="59" max="59" width="11.6640625" style="18" hidden="1" customWidth="1"/>
    <col min="60" max="60" width="3.6640625" style="18" hidden="1" customWidth="1"/>
    <col min="61" max="61" width="24.6640625" style="18" hidden="1" customWidth="1"/>
    <col min="62" max="62" width="11.6640625" style="18" customWidth="1"/>
    <col min="63" max="63" width="0.6640625" style="18" customWidth="1"/>
    <col min="64" max="64" width="24.6640625" style="18" hidden="1" customWidth="1"/>
    <col min="65" max="65" width="11.6640625" style="18" customWidth="1"/>
    <col min="66" max="66" width="0.6640625" style="18" customWidth="1"/>
    <col min="67" max="67" width="11.6640625" style="18" customWidth="1"/>
    <col min="68" max="68" width="0.6640625" style="18" customWidth="1"/>
    <col min="69" max="69" width="11.6640625" style="18" hidden="1" customWidth="1"/>
    <col min="70" max="70" width="3.6640625" style="18" hidden="1" customWidth="1"/>
    <col min="71" max="71" width="24.6640625" style="18" hidden="1" customWidth="1"/>
    <col min="72" max="72" width="11.6640625" style="18" customWidth="1"/>
    <col min="73" max="73" width="0.6640625" style="18" customWidth="1"/>
    <col min="74" max="74" width="24.6640625" style="18" hidden="1" customWidth="1"/>
    <col min="75" max="75" width="11.6640625" style="18" customWidth="1"/>
    <col min="76" max="76" width="0.6640625" style="18" customWidth="1"/>
    <col min="77" max="77" width="11.6640625" style="18" customWidth="1"/>
    <col min="78" max="78" width="0.6640625" style="18" customWidth="1"/>
    <col min="79" max="79" width="11.6640625" style="18" hidden="1" customWidth="1"/>
    <col min="80" max="80" width="3.6640625" style="18" hidden="1" customWidth="1"/>
    <col min="81" max="81" width="24.6640625" style="18" hidden="1" customWidth="1"/>
    <col min="82" max="82" width="11.6640625" style="18" customWidth="1"/>
    <col min="83" max="83" width="0.6640625" style="18" customWidth="1"/>
    <col min="84" max="84" width="24.6640625" style="18" hidden="1" customWidth="1"/>
    <col min="85" max="85" width="11.6640625" style="18" customWidth="1"/>
    <col min="86" max="86" width="0.6640625" style="18" customWidth="1"/>
    <col min="87" max="87" width="11.6640625" style="18" customWidth="1"/>
    <col min="88" max="88" width="0.6640625" style="18" customWidth="1"/>
    <col min="89" max="89" width="11.6640625" style="18" hidden="1" customWidth="1"/>
    <col min="90" max="90" width="3.6640625" style="18" hidden="1" customWidth="1"/>
    <col min="91" max="91" width="24.6640625" style="18" hidden="1" customWidth="1"/>
    <col min="92" max="92" width="11.6640625" style="18" customWidth="1"/>
    <col min="93" max="93" width="0.6640625" style="18" customWidth="1"/>
    <col min="94" max="94" width="24.6640625" style="18" hidden="1" customWidth="1"/>
    <col min="95" max="95" width="11.6640625" style="18" customWidth="1"/>
    <col min="96" max="96" width="0.6640625" style="18" customWidth="1"/>
    <col min="97" max="99" width="11.6640625" style="18" hidden="1" customWidth="1"/>
    <col min="100" max="100" width="2.33203125" style="47" hidden="1" customWidth="1"/>
    <col min="101" max="101" width="34.6640625" style="47" hidden="1" customWidth="1"/>
    <col min="102" max="102" width="23.6640625" style="250" hidden="1" customWidth="1"/>
    <col min="103" max="103" width="13.6640625" style="250" hidden="1" customWidth="1"/>
    <col min="104" max="104" width="29.109375" style="250" hidden="1" customWidth="1"/>
    <col min="105" max="105" width="5.5546875" style="250" hidden="1" customWidth="1"/>
    <col min="106" max="106" width="33.88671875" style="250" hidden="1" customWidth="1"/>
    <col min="107" max="107" width="6" style="250" hidden="1" customWidth="1"/>
    <col min="108" max="110" width="11.6640625" style="18" hidden="1" customWidth="1"/>
    <col min="111" max="111" width="2.33203125" style="47" hidden="1" customWidth="1"/>
    <col min="112" max="112" width="33.109375" style="47" hidden="1" customWidth="1"/>
    <col min="113" max="113" width="23.6640625" style="250" hidden="1" customWidth="1"/>
    <col min="114" max="114" width="19.33203125" style="250" hidden="1" customWidth="1"/>
    <col min="115" max="115" width="36.33203125" style="250" hidden="1" customWidth="1"/>
    <col min="116" max="116" width="5.109375" style="250" hidden="1" customWidth="1"/>
    <col min="117" max="117" width="41.33203125" style="250" hidden="1" customWidth="1"/>
    <col min="118" max="118" width="5" style="250" hidden="1" customWidth="1"/>
    <col min="119" max="121" width="11.6640625" style="18" hidden="1" customWidth="1"/>
    <col min="122" max="122" width="2.33203125" style="47" hidden="1" customWidth="1"/>
    <col min="123" max="123" width="31.6640625" style="47" hidden="1" customWidth="1"/>
    <col min="124" max="124" width="23.6640625" style="250" hidden="1" customWidth="1"/>
    <col min="125" max="125" width="10.6640625" style="250" hidden="1" customWidth="1"/>
    <col min="126" max="126" width="27.6640625" style="250" hidden="1" customWidth="1"/>
    <col min="127" max="127" width="4" style="250" hidden="1" customWidth="1"/>
    <col min="128" max="128" width="32.44140625" style="250" hidden="1" customWidth="1"/>
    <col min="129" max="129" width="4" style="250" hidden="1" customWidth="1"/>
    <col min="130" max="133" width="11.6640625" style="18" hidden="1" customWidth="1"/>
    <col min="134" max="135" width="7.6640625" style="18" hidden="1" customWidth="1"/>
    <col min="136" max="136" width="2.33203125" style="47" hidden="1" customWidth="1"/>
    <col min="137" max="137" width="30.6640625" style="47" hidden="1" customWidth="1"/>
    <col min="138" max="138" width="23.6640625" style="250" hidden="1" customWidth="1"/>
    <col min="139" max="139" width="11.44140625" style="250" hidden="1" customWidth="1"/>
    <col min="140" max="140" width="28.44140625" style="250" hidden="1" customWidth="1"/>
    <col min="141" max="141" width="5.5546875" style="250" hidden="1" customWidth="1"/>
    <col min="142" max="142" width="33.33203125" style="250" hidden="1" customWidth="1"/>
    <col min="143" max="143" width="5" style="250" hidden="1" customWidth="1"/>
    <col min="144" max="150" width="7.6640625" style="18" hidden="1" customWidth="1"/>
    <col min="151" max="151" width="16.6640625" style="18" hidden="1" customWidth="1"/>
    <col min="152" max="152" width="17" style="18" hidden="1" customWidth="1"/>
    <col min="153" max="156" width="15.6640625" style="18" hidden="1" customWidth="1"/>
    <col min="157" max="157" width="16.6640625" style="18" customWidth="1"/>
    <col min="158" max="158" width="0.6640625" style="18" customWidth="1"/>
    <col min="159" max="159" width="16.77734375" style="18" customWidth="1"/>
    <col min="160" max="160" width="1" style="18" customWidth="1"/>
    <col min="161" max="161" width="11.6640625" style="18" customWidth="1"/>
    <col min="162" max="162" width="0.6640625" style="18" customWidth="1"/>
    <col min="163" max="163" width="11.6640625" style="18" customWidth="1"/>
    <col min="164" max="164" width="0.6640625" style="18" customWidth="1"/>
    <col min="165" max="165" width="11.6640625" style="18" customWidth="1"/>
    <col min="166" max="166" width="0.6640625" style="18" customWidth="1"/>
    <col min="167" max="167" width="11.6640625" style="18" customWidth="1"/>
    <col min="168" max="168" width="0.6640625" style="18" customWidth="1"/>
    <col min="169" max="169" width="11.6640625" style="18" customWidth="1"/>
    <col min="170" max="170" width="0.6640625" style="18" customWidth="1"/>
    <col min="171" max="171" width="11.6640625" style="18" customWidth="1"/>
    <col min="172" max="172" width="0.6640625" style="18" customWidth="1"/>
    <col min="173" max="173" width="11.6640625" style="18" customWidth="1"/>
    <col min="174" max="174" width="0.6640625" style="18" customWidth="1"/>
    <col min="175" max="175" width="11.6640625" style="18" customWidth="1"/>
    <col min="176" max="176" width="0.6640625" style="18" customWidth="1"/>
    <col min="177" max="177" width="11.6640625" style="18" customWidth="1"/>
    <col min="178" max="178" width="0.6640625" style="18" customWidth="1"/>
    <col min="179" max="179" width="11.6640625" style="18" customWidth="1"/>
    <col min="180" max="180" width="0.6640625" style="18" customWidth="1"/>
    <col min="181" max="181" width="11.6640625" style="18" customWidth="1"/>
    <col min="182" max="182" width="0.6640625" style="18" customWidth="1"/>
    <col min="183" max="183" width="11.6640625" style="18" customWidth="1"/>
    <col min="184" max="184" width="0.6640625" style="18" customWidth="1"/>
    <col min="185" max="185" width="11.6640625" style="18" customWidth="1"/>
    <col min="186" max="186" width="0.6640625" style="18" customWidth="1"/>
    <col min="187" max="187" width="11.6640625" style="18" customWidth="1"/>
    <col min="188" max="188" width="0.6640625" style="18" customWidth="1"/>
    <col min="189" max="189" width="11.6640625" style="18" customWidth="1"/>
    <col min="190" max="190" width="0.6640625" style="18" customWidth="1"/>
    <col min="191" max="191" width="11.6640625" style="18" customWidth="1"/>
    <col min="192" max="192" width="0.6640625" style="18" customWidth="1"/>
    <col min="193" max="193" width="11.6640625" style="18" customWidth="1"/>
    <col min="194" max="194" width="0.6640625" style="18" customWidth="1"/>
    <col min="195" max="195" width="11.6640625" style="18" customWidth="1"/>
    <col min="196" max="196" width="0.6640625" style="18" customWidth="1"/>
    <col min="197" max="202" width="7.6640625" style="18" hidden="1" customWidth="1"/>
    <col min="203" max="205" width="7.6640625" style="47" hidden="1" customWidth="1"/>
    <col min="206" max="208" width="11.6640625" style="47" hidden="1" customWidth="1"/>
    <col min="209" max="211" width="7.6640625" style="18" hidden="1" customWidth="1"/>
    <col min="212" max="212" width="9.44140625" style="18" hidden="1" customWidth="1"/>
    <col min="213" max="214" width="8.33203125" style="18" hidden="1" customWidth="1"/>
    <col min="215" max="226" width="9.44140625" style="47" hidden="1" customWidth="1"/>
    <col min="227" max="227" width="9.5546875" style="47" hidden="1" customWidth="1"/>
    <col min="228" max="230" width="16.6640625" style="47" hidden="1" customWidth="1"/>
    <col min="231" max="231" width="6.109375" style="47" hidden="1" customWidth="1"/>
    <col min="232" max="232" width="11" style="47" hidden="1" customWidth="1"/>
    <col min="233" max="233" width="5.6640625" style="47" hidden="1" customWidth="1"/>
    <col min="234" max="234" width="29.6640625" style="47" hidden="1" customWidth="1"/>
    <col min="235" max="235" width="15.6640625" style="47" hidden="1" customWidth="1"/>
    <col min="236" max="242" width="9.44140625" style="47" hidden="1" customWidth="1"/>
    <col min="243" max="243" width="16.6640625" style="47" hidden="1" customWidth="1"/>
    <col min="244" max="244" width="18.44140625" style="47" hidden="1" customWidth="1"/>
    <col min="245" max="245" width="16.6640625" style="47" hidden="1" customWidth="1"/>
    <col min="246" max="246" width="6.109375" style="47" hidden="1" customWidth="1"/>
    <col min="247" max="247" width="10.88671875" style="47" hidden="1" customWidth="1"/>
    <col min="248" max="248" width="5.6640625" style="47" hidden="1" customWidth="1"/>
    <col min="249" max="249" width="31.88671875" style="47" hidden="1" customWidth="1"/>
    <col min="250" max="250" width="15.6640625" style="47" hidden="1" customWidth="1"/>
    <col min="251" max="251" width="9.44140625" style="47" hidden="1" customWidth="1"/>
    <col min="252" max="252" width="16.6640625" style="47" hidden="1" customWidth="1"/>
    <col min="253" max="253" width="18.44140625" style="47" hidden="1" customWidth="1"/>
    <col min="254" max="254" width="16.6640625" style="47" hidden="1" customWidth="1"/>
    <col min="255" max="255" width="5.5546875" style="47" hidden="1" customWidth="1"/>
    <col min="256" max="256" width="10.21875" style="47" hidden="1" customWidth="1"/>
    <col min="257" max="257" width="5.6640625" style="47" hidden="1" customWidth="1"/>
    <col min="258" max="258" width="31.88671875" style="47" hidden="1" customWidth="1"/>
    <col min="259" max="259" width="15.6640625" style="47" hidden="1" customWidth="1"/>
    <col min="260" max="260" width="16.6640625" style="18" customWidth="1"/>
    <col min="261" max="261" width="0.6640625" style="18" customWidth="1"/>
    <col min="262" max="262" width="11.6640625" style="18" hidden="1" customWidth="1"/>
    <col min="263" max="263" width="3.6640625" style="18" hidden="1" customWidth="1"/>
    <col min="264" max="264" width="24.6640625" style="18" hidden="1" customWidth="1"/>
    <col min="265" max="265" width="11.6640625" style="18" customWidth="1"/>
    <col min="266" max="266" width="0.6640625" style="18" customWidth="1"/>
    <col min="267" max="267" width="24.6640625" style="18" hidden="1" customWidth="1"/>
    <col min="268" max="268" width="11.6640625" style="18" customWidth="1"/>
    <col min="269" max="269" width="0.6640625" style="18" customWidth="1"/>
    <col min="270" max="270" width="11.6640625" style="18" customWidth="1"/>
    <col min="271" max="271" width="0.6640625" style="18" customWidth="1"/>
    <col min="272" max="272" width="11.6640625" style="18" hidden="1" customWidth="1"/>
    <col min="273" max="273" width="3.6640625" style="18" hidden="1" customWidth="1"/>
    <col min="274" max="274" width="24.6640625" style="18" hidden="1" customWidth="1"/>
    <col min="275" max="275" width="11.6640625" style="18" customWidth="1"/>
    <col min="276" max="276" width="0.6640625" style="18" customWidth="1"/>
    <col min="277" max="277" width="24.6640625" style="18" hidden="1" customWidth="1"/>
    <col min="278" max="278" width="11.6640625" style="18" customWidth="1"/>
    <col min="279" max="279" width="0.6640625" style="47" customWidth="1"/>
    <col min="280" max="280" width="6.5546875" style="47" hidden="1" customWidth="1"/>
    <col min="281" max="281" width="36.88671875" style="47" hidden="1" customWidth="1"/>
    <col min="282" max="282" width="15.6640625" style="47" hidden="1" customWidth="1"/>
    <col min="283" max="289" width="7.6640625" style="47" hidden="1" customWidth="1"/>
    <col min="290" max="290" width="14.88671875" style="47" hidden="1" customWidth="1"/>
    <col min="291" max="291" width="16.6640625" style="18" hidden="1" customWidth="1"/>
    <col min="292" max="292" width="0.6640625" style="18" hidden="1" customWidth="1"/>
    <col min="293" max="293" width="16.6640625" style="18" customWidth="1"/>
    <col min="294" max="294" width="1" style="18" customWidth="1"/>
    <col min="295" max="295" width="11.6640625" style="18" customWidth="1"/>
    <col min="296" max="296" width="0.6640625" style="18" customWidth="1"/>
    <col min="297" max="297" width="11.6640625" style="18" hidden="1" customWidth="1"/>
    <col min="298" max="298" width="3.6640625" style="18" hidden="1" customWidth="1"/>
    <col min="299" max="299" width="24.6640625" style="18" hidden="1" customWidth="1"/>
    <col min="300" max="300" width="11.6640625" style="18" customWidth="1"/>
    <col min="301" max="301" width="0.6640625" style="18" customWidth="1"/>
    <col min="302" max="302" width="24.6640625" style="18" hidden="1" customWidth="1"/>
    <col min="303" max="303" width="11.6640625" style="18" customWidth="1"/>
    <col min="304" max="304" width="0.6640625" style="18" customWidth="1"/>
    <col min="305" max="305" width="11.6640625" style="18" customWidth="1"/>
    <col min="306" max="306" width="0.6640625" style="18" customWidth="1"/>
    <col min="307" max="307" width="11.6640625" style="18" hidden="1" customWidth="1"/>
    <col min="308" max="308" width="3.6640625" style="18" hidden="1" customWidth="1"/>
    <col min="309" max="309" width="24.6640625" style="18" hidden="1" customWidth="1"/>
    <col min="310" max="310" width="11.6640625" style="18" customWidth="1"/>
    <col min="311" max="311" width="0.6640625" style="18" customWidth="1"/>
    <col min="312" max="312" width="24.6640625" style="18" hidden="1" customWidth="1"/>
    <col min="313" max="313" width="11.6640625" style="18" customWidth="1"/>
    <col min="314" max="314" width="0.6640625" style="18" customWidth="1"/>
    <col min="315" max="315" width="11.6640625" style="18" customWidth="1"/>
    <col min="316" max="316" width="0.6640625" style="18" customWidth="1"/>
    <col min="317" max="317" width="11.6640625" style="18" hidden="1" customWidth="1"/>
    <col min="318" max="318" width="3.6640625" style="18" hidden="1" customWidth="1"/>
    <col min="319" max="319" width="24.6640625" style="18" hidden="1" customWidth="1"/>
    <col min="320" max="320" width="11.6640625" style="18" customWidth="1"/>
    <col min="321" max="321" width="0.6640625" style="18" customWidth="1"/>
    <col min="322" max="322" width="24.6640625" style="18" hidden="1" customWidth="1"/>
    <col min="323" max="323" width="11.6640625" style="18" customWidth="1"/>
    <col min="324" max="324" width="0.6640625" style="18" customWidth="1"/>
    <col min="325" max="332" width="7.6640625" style="18" hidden="1" customWidth="1"/>
    <col min="333" max="333" width="3" style="189" hidden="1" customWidth="1"/>
    <col min="334" max="335" width="4.88671875" style="189" hidden="1" customWidth="1"/>
    <col min="336" max="336" width="21" style="18" hidden="1" customWidth="1"/>
    <col min="337" max="337" width="17.33203125" style="18" hidden="1" customWidth="1"/>
    <col min="338" max="338" width="21" style="18" hidden="1" customWidth="1"/>
    <col min="339" max="339" width="5.77734375" style="18" hidden="1" customWidth="1"/>
    <col min="340" max="340" width="38.44140625" style="18" hidden="1" customWidth="1"/>
    <col min="341" max="341" width="4.5546875" style="18" hidden="1" customWidth="1"/>
    <col min="342" max="342" width="43.5546875" style="18" hidden="1" customWidth="1"/>
    <col min="343" max="343" width="5.109375" style="18" hidden="1" customWidth="1"/>
    <col min="344" max="344" width="5.6640625" style="47" hidden="1" customWidth="1"/>
    <col min="345" max="345" width="32.109375" style="47" hidden="1" customWidth="1"/>
    <col min="346" max="346" width="15.21875" style="47" hidden="1" customWidth="1"/>
    <col min="347" max="347" width="0.6640625" style="18" hidden="1" customWidth="1"/>
    <col min="348" max="348" width="16.6640625" style="18" customWidth="1"/>
    <col min="349" max="349" width="1" style="18" customWidth="1"/>
    <col min="350" max="350" width="11.6640625" style="18" customWidth="1"/>
    <col min="351" max="351" width="0.6640625" style="18" customWidth="1"/>
    <col min="352" max="352" width="11.6640625" style="18" hidden="1" customWidth="1"/>
    <col min="353" max="353" width="3.6640625" style="18" hidden="1" customWidth="1"/>
    <col min="354" max="354" width="24.6640625" style="18" hidden="1" customWidth="1"/>
    <col min="355" max="355" width="11.6640625" style="18" customWidth="1"/>
    <col min="356" max="356" width="0.6640625" style="18" customWidth="1"/>
    <col min="357" max="357" width="24.6640625" style="18" hidden="1" customWidth="1"/>
    <col min="358" max="358" width="11.6640625" style="18" customWidth="1"/>
    <col min="359" max="359" width="0.6640625" style="18" customWidth="1"/>
    <col min="360" max="360" width="11.6640625" style="18" customWidth="1"/>
    <col min="361" max="361" width="0.6640625" style="18" customWidth="1"/>
    <col min="362" max="362" width="11.6640625" style="18" hidden="1" customWidth="1"/>
    <col min="363" max="363" width="3.6640625" style="18" hidden="1" customWidth="1"/>
    <col min="364" max="364" width="24.6640625" style="18" hidden="1" customWidth="1"/>
    <col min="365" max="365" width="11.6640625" style="18" customWidth="1"/>
    <col min="366" max="366" width="0.6640625" style="18" customWidth="1"/>
    <col min="367" max="367" width="24.6640625" style="18" hidden="1" customWidth="1"/>
    <col min="368" max="368" width="11.6640625" style="18" customWidth="1"/>
    <col min="369" max="369" width="0.6640625" style="18" customWidth="1"/>
    <col min="370" max="370" width="11.6640625" style="18" customWidth="1"/>
    <col min="371" max="371" width="0.6640625" style="18" customWidth="1"/>
    <col min="372" max="372" width="11.6640625" style="18" hidden="1" customWidth="1"/>
    <col min="373" max="373" width="3.6640625" style="18" hidden="1" customWidth="1"/>
    <col min="374" max="374" width="24.6640625" style="18" hidden="1" customWidth="1"/>
    <col min="375" max="375" width="11.6640625" style="18" customWidth="1"/>
    <col min="376" max="376" width="0.6640625" style="18" customWidth="1"/>
    <col min="377" max="377" width="24.6640625" style="18" hidden="1" customWidth="1"/>
    <col min="378" max="378" width="11.6640625" style="18" customWidth="1"/>
    <col min="379" max="379" width="0.6640625" style="18" customWidth="1"/>
    <col min="380" max="380" width="11.6640625" style="18" customWidth="1"/>
    <col min="381" max="381" width="0.6640625" style="18" customWidth="1"/>
    <col min="382" max="382" width="11.6640625" style="18" hidden="1" customWidth="1"/>
    <col min="383" max="383" width="3.6640625" style="18" hidden="1" customWidth="1"/>
    <col min="384" max="384" width="24.6640625" style="18" hidden="1" customWidth="1"/>
    <col min="385" max="385" width="11.6640625" style="18" customWidth="1"/>
    <col min="386" max="386" width="0.6640625" style="18" customWidth="1"/>
    <col min="387" max="387" width="24.6640625" style="18" hidden="1" customWidth="1"/>
    <col min="388" max="388" width="11.6640625" style="18" customWidth="1"/>
    <col min="389" max="389" width="0.6640625" style="18" customWidth="1"/>
    <col min="390" max="390" width="11.6640625" style="18" customWidth="1"/>
    <col min="391" max="391" width="0.6640625" style="18" customWidth="1"/>
    <col min="392" max="392" width="11.6640625" style="18" hidden="1" customWidth="1"/>
    <col min="393" max="393" width="3.6640625" style="18" hidden="1" customWidth="1"/>
    <col min="394" max="394" width="24.6640625" style="18" hidden="1" customWidth="1"/>
    <col min="395" max="395" width="11.6640625" style="18" customWidth="1"/>
    <col min="396" max="396" width="0.6640625" style="18" customWidth="1"/>
    <col min="397" max="397" width="24.6640625" style="18" hidden="1" customWidth="1"/>
    <col min="398" max="398" width="11.6640625" style="18" customWidth="1"/>
    <col min="399" max="399" width="0.6640625" style="18" customWidth="1"/>
    <col min="400" max="404" width="7.6640625" style="18" hidden="1" customWidth="1"/>
    <col min="405" max="407" width="7.6640625" style="47" hidden="1" customWidth="1"/>
    <col min="408" max="410" width="11.6640625" style="47" hidden="1" customWidth="1"/>
    <col min="411" max="411" width="16.6640625" style="18" hidden="1" customWidth="1"/>
    <col min="412" max="416" width="8.44140625" style="18" hidden="1" customWidth="1"/>
    <col min="417" max="417" width="8.33203125" style="47" hidden="1" customWidth="1"/>
    <col min="418" max="428" width="9.44140625" style="47" hidden="1" customWidth="1"/>
    <col min="429" max="429" width="9.5546875" style="47" hidden="1" customWidth="1"/>
    <col min="430" max="432" width="16.6640625" style="47" hidden="1" customWidth="1"/>
    <col min="433" max="433" width="33" style="47" hidden="1" customWidth="1"/>
    <col min="434" max="434" width="8" style="47" hidden="1" customWidth="1"/>
    <col min="435" max="435" width="10.21875" style="47" hidden="1" customWidth="1"/>
    <col min="436" max="436" width="37.88671875" style="47" hidden="1" customWidth="1"/>
    <col min="437" max="437" width="10.44140625" style="47" hidden="1" customWidth="1"/>
    <col min="438" max="438" width="10.21875" style="47" hidden="1" customWidth="1"/>
    <col min="439" max="439" width="6.5546875" style="47" hidden="1" customWidth="1"/>
    <col min="440" max="440" width="27.21875" style="47" hidden="1" customWidth="1"/>
    <col min="441" max="441" width="26.5546875" style="47" hidden="1" customWidth="1"/>
    <col min="442" max="448" width="9.44140625" style="47" hidden="1" customWidth="1"/>
    <col min="449" max="449" width="16.6640625" style="47" hidden="1" customWidth="1"/>
    <col min="450" max="450" width="18.44140625" style="47" hidden="1" customWidth="1"/>
    <col min="451" max="451" width="16.6640625" style="47" hidden="1" customWidth="1"/>
    <col min="452" max="452" width="33" style="47" hidden="1" customWidth="1"/>
    <col min="453" max="453" width="8" style="47" hidden="1" customWidth="1"/>
    <col min="454" max="454" width="10.21875" style="47" hidden="1" customWidth="1"/>
    <col min="455" max="455" width="37.88671875" style="47" hidden="1" customWidth="1"/>
    <col min="456" max="456" width="10.44140625" style="47" hidden="1" customWidth="1"/>
    <col min="457" max="457" width="10.21875" style="47" hidden="1" customWidth="1"/>
    <col min="458" max="458" width="6.5546875" style="47" hidden="1" customWidth="1"/>
    <col min="459" max="459" width="27.21875" style="47" hidden="1" customWidth="1"/>
    <col min="460" max="460" width="26.5546875" style="47" hidden="1" customWidth="1"/>
    <col min="461" max="461" width="9.44140625" style="47" hidden="1" customWidth="1"/>
    <col min="462" max="462" width="16.6640625" style="47" hidden="1" customWidth="1"/>
    <col min="463" max="463" width="18.44140625" style="47" hidden="1" customWidth="1"/>
    <col min="464" max="464" width="16.6640625" style="47" hidden="1" customWidth="1"/>
    <col min="465" max="465" width="33" style="47" hidden="1" customWidth="1"/>
    <col min="466" max="466" width="7.33203125" style="47" hidden="1" customWidth="1"/>
    <col min="467" max="467" width="10.21875" style="47" hidden="1" customWidth="1"/>
    <col min="468" max="468" width="37.88671875" style="47" hidden="1" customWidth="1"/>
    <col min="469" max="469" width="10.44140625" style="47" hidden="1" customWidth="1"/>
    <col min="470" max="470" width="10.21875" style="47" hidden="1" customWidth="1"/>
    <col min="471" max="471" width="6.5546875" style="47" hidden="1" customWidth="1"/>
    <col min="472" max="472" width="31.88671875" style="47" hidden="1" customWidth="1"/>
    <col min="473" max="473" width="26.5546875" style="47" hidden="1" customWidth="1"/>
    <col min="474" max="483" width="8.33203125" style="18" hidden="1" customWidth="1"/>
    <col min="484" max="484" width="25.5546875" style="18" hidden="1" customWidth="1"/>
    <col min="485" max="485" width="20.33203125" style="18" hidden="1" customWidth="1"/>
    <col min="486" max="489" width="16.88671875" style="18" hidden="1" customWidth="1"/>
    <col min="490" max="490" width="16.6640625" style="18" hidden="1" customWidth="1"/>
    <col min="491" max="491" width="0.6640625" style="18" hidden="1" customWidth="1"/>
    <col min="492" max="492" width="16.6640625" style="18" customWidth="1"/>
    <col min="493" max="493" width="1" style="18" customWidth="1"/>
    <col min="494" max="508" width="7.6640625" style="18" hidden="1" customWidth="1"/>
    <col min="509" max="509" width="18" style="18" hidden="1" customWidth="1"/>
    <col min="510" max="514" width="14.88671875" style="18" hidden="1" customWidth="1"/>
    <col min="515" max="515" width="1" style="18" hidden="1" customWidth="1"/>
    <col min="516" max="516" width="3.109375" style="18" customWidth="1"/>
    <col min="517" max="517" width="0.6640625" style="18" customWidth="1"/>
    <col min="518" max="518" width="3.33203125" style="18" customWidth="1"/>
    <col min="519" max="519" width="0.6640625" style="18" customWidth="1"/>
    <col min="520" max="520" width="3.33203125" style="18" customWidth="1"/>
    <col min="521" max="521" width="0.6640625" style="18" customWidth="1"/>
    <col min="522" max="522" width="3.33203125" style="18" customWidth="1"/>
    <col min="523" max="523" width="1" style="18" customWidth="1"/>
    <col min="524" max="524" width="16.6640625" style="18" customWidth="1"/>
    <col min="525" max="525" width="1" style="18" customWidth="1"/>
    <col min="526" max="526" width="16.6640625" style="18" customWidth="1" collapsed="1"/>
    <col min="527" max="527" width="1" style="18" customWidth="1"/>
    <col min="528" max="528" width="25.6640625" style="18" customWidth="1" collapsed="1"/>
    <col min="529" max="529" width="0.5546875" style="18" customWidth="1"/>
    <col min="530" max="530" width="24.6640625" style="18" hidden="1" customWidth="1"/>
    <col min="531" max="531" width="16" style="18" customWidth="1"/>
    <col min="532" max="532" width="2.6640625" style="18" customWidth="1"/>
    <col min="533" max="533" width="11.6640625" style="18" customWidth="1"/>
    <col min="534" max="534" width="0.5546875" style="18" customWidth="1"/>
    <col min="535" max="535" width="11.6640625" style="18" hidden="1" customWidth="1"/>
    <col min="536" max="536" width="24.6640625" style="18" hidden="1" customWidth="1"/>
    <col min="537" max="537" width="11.6640625" style="18" customWidth="1"/>
    <col min="538" max="538" width="0.6640625" style="18" customWidth="1"/>
    <col min="539" max="539" width="24.6640625" style="18" hidden="1" customWidth="1"/>
    <col min="540" max="540" width="11.6640625" style="18" customWidth="1"/>
    <col min="541" max="541" width="1.109375" style="18" customWidth="1"/>
    <col min="542" max="542" width="11.6640625" style="18" customWidth="1"/>
    <col min="543" max="543" width="0.6640625" style="18" customWidth="1"/>
    <col min="544" max="544" width="11.6640625" style="18" customWidth="1"/>
    <col min="545" max="545" width="0.6640625" style="18" customWidth="1"/>
    <col min="546" max="546" width="11.6640625" style="18" customWidth="1"/>
    <col min="547" max="547" width="0.6640625" style="18" customWidth="1"/>
    <col min="548" max="548" width="11.6640625" style="18" customWidth="1"/>
    <col min="549" max="549" width="0.6640625" style="18" customWidth="1"/>
    <col min="550" max="550" width="11.6640625" style="18" customWidth="1"/>
    <col min="551" max="551" width="0.6640625" style="18" customWidth="1"/>
    <col min="552" max="552" width="11.6640625" style="18" customWidth="1"/>
    <col min="553" max="553" width="0.6640625" style="18" customWidth="1"/>
    <col min="554" max="554" width="11.6640625" style="18" customWidth="1"/>
    <col min="555" max="555" width="0.6640625" style="18" customWidth="1"/>
    <col min="556" max="556" width="11.6640625" style="18" hidden="1" customWidth="1"/>
    <col min="557" max="557" width="24.6640625" style="18" hidden="1" customWidth="1"/>
    <col min="558" max="558" width="11.6640625" style="18" customWidth="1"/>
    <col min="559" max="559" width="0.6640625" style="18" customWidth="1"/>
    <col min="560" max="560" width="24.6640625" style="18" hidden="1" customWidth="1"/>
    <col min="561" max="561" width="11.6640625" style="18" customWidth="1"/>
    <col min="562" max="562" width="0.6640625" style="18" customWidth="1"/>
    <col min="563" max="563" width="11.6640625" style="18" customWidth="1"/>
    <col min="564" max="564" width="0.6640625" style="18" customWidth="1"/>
    <col min="565" max="565" width="11.6640625" style="18" hidden="1" customWidth="1"/>
    <col min="566" max="566" width="24.6640625" style="18" hidden="1" customWidth="1"/>
    <col min="567" max="567" width="11.6640625" style="18" customWidth="1"/>
    <col min="568" max="568" width="0.6640625" style="18" customWidth="1"/>
    <col min="569" max="569" width="24.6640625" style="18" hidden="1" customWidth="1"/>
    <col min="570" max="570" width="11.6640625" style="18" customWidth="1"/>
    <col min="571" max="571" width="0.6640625" style="18" customWidth="1"/>
    <col min="572" max="572" width="11.6640625" style="18" customWidth="1"/>
    <col min="573" max="573" width="0.6640625" style="18" customWidth="1"/>
    <col min="574" max="574" width="11.6640625" style="18" customWidth="1"/>
    <col min="575" max="575" width="0.6640625" style="18" customWidth="1"/>
    <col min="576" max="576" width="11.6640625" style="18" customWidth="1"/>
    <col min="577" max="577" width="0.6640625" style="18" customWidth="1"/>
    <col min="578" max="578" width="11.6640625" style="18" customWidth="1"/>
    <col min="579" max="579" width="0.6640625" style="18" customWidth="1"/>
    <col min="580" max="580" width="11.6640625" style="18" customWidth="1"/>
    <col min="581" max="581" width="0.6640625" style="18" customWidth="1"/>
    <col min="582" max="582" width="11.6640625" style="18" customWidth="1"/>
    <col min="583" max="583" width="0.6640625" style="18" customWidth="1"/>
    <col min="584" max="584" width="11.6640625" style="18" customWidth="1"/>
    <col min="585" max="585" width="0.6640625" style="18" customWidth="1"/>
    <col min="586" max="586" width="11.6640625" style="18" hidden="1" customWidth="1"/>
    <col min="587" max="587" width="3.6640625" style="18" hidden="1" customWidth="1"/>
    <col min="588" max="588" width="24.6640625" style="18" hidden="1" customWidth="1"/>
    <col min="589" max="589" width="11.6640625" style="18" customWidth="1"/>
    <col min="590" max="590" width="0.6640625" style="18" customWidth="1"/>
    <col min="591" max="591" width="24.6640625" style="18" hidden="1" customWidth="1"/>
    <col min="592" max="592" width="11.6640625" style="18" customWidth="1"/>
    <col min="593" max="593" width="6.6640625" style="18" customWidth="1"/>
    <col min="594" max="16384" width="11.5546875" style="18" hidden="1"/>
  </cols>
  <sheetData>
    <row r="1" spans="1:593" s="82" customFormat="1" hidden="1" x14ac:dyDescent="0.3">
      <c r="A1" s="82" t="str">
        <f>Stammdaten!$AX$15</f>
        <v>StdJahr[StdJahrText]</v>
      </c>
      <c r="B1" s="18"/>
      <c r="C1" s="18" t="s">
        <v>295</v>
      </c>
      <c r="D1" s="18"/>
      <c r="E1" s="18"/>
      <c r="F1" s="18"/>
      <c r="G1" s="82">
        <v>1</v>
      </c>
      <c r="CV1" s="206"/>
      <c r="CW1" s="206"/>
      <c r="CX1" s="248"/>
      <c r="CY1" s="248" t="str">
        <f>$A$4&amp;"[StdTabÜberschrift]"</f>
        <v>StdDisziplinen[StdTabÜberschrift]</v>
      </c>
      <c r="CZ1" s="248"/>
      <c r="DA1" s="248"/>
      <c r="DB1" s="248"/>
      <c r="DC1" s="248"/>
      <c r="DG1" s="206"/>
      <c r="DH1" s="206"/>
      <c r="DI1" s="248"/>
      <c r="DJ1" s="248"/>
      <c r="DK1" s="248"/>
      <c r="DL1" s="248" t="s">
        <v>432</v>
      </c>
      <c r="DM1" s="248"/>
      <c r="DN1" s="248"/>
      <c r="DR1" s="206"/>
      <c r="DS1" s="206"/>
      <c r="DT1" s="248"/>
      <c r="DU1" s="248"/>
      <c r="DV1" s="248"/>
      <c r="DW1" s="248"/>
      <c r="DX1" s="248"/>
      <c r="DY1" s="248"/>
      <c r="EF1" s="206"/>
      <c r="EG1" s="206"/>
      <c r="EH1" s="248"/>
      <c r="EI1" s="248"/>
      <c r="EJ1" s="248"/>
      <c r="EK1" s="248"/>
      <c r="EL1" s="248"/>
      <c r="EM1" s="248"/>
      <c r="FE1" s="82">
        <v>2</v>
      </c>
      <c r="GU1" s="206"/>
      <c r="GV1" s="206"/>
      <c r="GW1" s="206"/>
      <c r="GX1" s="206"/>
      <c r="GY1" s="206"/>
      <c r="GZ1" s="206"/>
      <c r="HG1" s="206"/>
      <c r="HH1" s="206"/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/>
      <c r="HU1" s="206"/>
      <c r="HV1" s="206"/>
      <c r="HW1" s="206"/>
      <c r="HX1" s="206"/>
      <c r="HY1" s="206"/>
      <c r="HZ1" s="206" t="str">
        <f>$A$4&amp;"[Stufe]"</f>
        <v>StdDisziplinen[Stufe]</v>
      </c>
      <c r="IA1" s="206"/>
      <c r="IB1" s="206"/>
      <c r="IC1" s="206"/>
      <c r="ID1" s="206"/>
      <c r="IE1" s="206"/>
      <c r="IF1" s="206"/>
      <c r="IG1" s="206"/>
      <c r="IH1" s="206"/>
      <c r="II1" s="206"/>
      <c r="IJ1" s="206"/>
      <c r="IK1" s="206"/>
      <c r="IL1" s="206"/>
      <c r="IM1" s="206"/>
      <c r="IN1" s="206"/>
      <c r="IO1" s="206" t="str">
        <f>$HZ$1</f>
        <v>StdDisziplinen[Stufe]</v>
      </c>
      <c r="IP1" s="206"/>
      <c r="IQ1" s="206"/>
      <c r="IR1" s="206"/>
      <c r="IS1" s="206"/>
      <c r="IT1" s="206"/>
      <c r="IU1" s="206"/>
      <c r="IV1" s="206"/>
      <c r="IW1" s="206"/>
      <c r="IX1" s="206" t="str">
        <f>$HZ$1</f>
        <v>StdDisziplinen[Stufe]</v>
      </c>
      <c r="IY1" s="206"/>
      <c r="JS1" s="206"/>
      <c r="JU1" s="82" t="str">
        <f>$HZ$1</f>
        <v>StdDisziplinen[Stufe]</v>
      </c>
      <c r="JV1" s="206"/>
      <c r="JW1" s="206"/>
      <c r="JX1" s="206"/>
      <c r="JY1" s="206"/>
      <c r="JZ1" s="206"/>
      <c r="KA1" s="206"/>
      <c r="KB1" s="206"/>
      <c r="KC1" s="206"/>
      <c r="KD1" s="206"/>
      <c r="KI1" s="82">
        <v>3</v>
      </c>
      <c r="MA1" s="82" t="str">
        <f>$DL$1</f>
        <v>StdDisziplinen[StdStellen]</v>
      </c>
      <c r="MD1" s="82" t="str">
        <f>Stammdaten!$AX$30</f>
        <v>Skalawert</v>
      </c>
      <c r="MG1" s="82" t="str">
        <f>$HZ$1</f>
        <v>StdDisziplinen[Stufe]</v>
      </c>
      <c r="MH1" s="206"/>
      <c r="ML1" s="82">
        <v>4</v>
      </c>
      <c r="OO1" s="206"/>
      <c r="OP1" s="206"/>
      <c r="OQ1" s="206"/>
      <c r="OR1" s="206"/>
      <c r="OS1" s="206"/>
      <c r="OT1" s="206"/>
      <c r="PA1" s="206"/>
      <c r="PB1" s="206"/>
      <c r="PC1" s="206"/>
      <c r="PD1" s="206"/>
      <c r="PE1" s="206"/>
      <c r="PF1" s="206"/>
      <c r="PG1" s="206"/>
      <c r="PH1" s="206"/>
      <c r="PI1" s="206"/>
      <c r="PJ1" s="206"/>
      <c r="PK1" s="206"/>
      <c r="PL1" s="206"/>
      <c r="PM1" s="206"/>
      <c r="PN1" s="206"/>
      <c r="PO1" s="206"/>
      <c r="PP1" s="206"/>
      <c r="PQ1" s="206" t="str">
        <f>Stammdaten!$AX$28</f>
        <v>Resultat</v>
      </c>
      <c r="PR1" s="206"/>
      <c r="PS1" s="206"/>
      <c r="PT1" s="206" t="str">
        <f>Stammdaten!$AX$30</f>
        <v>Skalawert</v>
      </c>
      <c r="PU1" s="206"/>
      <c r="PV1" s="206"/>
      <c r="PW1" s="206"/>
      <c r="PX1" s="206" t="str">
        <f>$A$4&amp;"[Stufe]"</f>
        <v>StdDisziplinen[Stufe]</v>
      </c>
      <c r="PY1" s="206"/>
      <c r="PZ1" s="206"/>
      <c r="QA1" s="206"/>
      <c r="QB1" s="206"/>
      <c r="QC1" s="206"/>
      <c r="QD1" s="206"/>
      <c r="QE1" s="206"/>
      <c r="QF1" s="206"/>
      <c r="QG1" s="206"/>
      <c r="QH1" s="206"/>
      <c r="QI1" s="206"/>
      <c r="QJ1" s="206" t="str">
        <f>$PQ$1</f>
        <v>Resultat</v>
      </c>
      <c r="QK1" s="206"/>
      <c r="QL1" s="206"/>
      <c r="QM1" s="206" t="str">
        <f>$PT$1</f>
        <v>Skalawert</v>
      </c>
      <c r="QN1" s="206"/>
      <c r="QO1" s="206"/>
      <c r="QP1" s="206"/>
      <c r="QQ1" s="206" t="str">
        <f>$PX$1</f>
        <v>StdDisziplinen[Stufe]</v>
      </c>
      <c r="QR1" s="206"/>
      <c r="QS1" s="206"/>
      <c r="QT1" s="206"/>
      <c r="QU1" s="206"/>
      <c r="QV1" s="206"/>
      <c r="QW1" s="206" t="str">
        <f>$PQ$1</f>
        <v>Resultat</v>
      </c>
      <c r="QX1" s="206"/>
      <c r="QY1" s="206"/>
      <c r="QZ1" s="206" t="str">
        <f>$PT$1</f>
        <v>Skalawert</v>
      </c>
      <c r="RA1" s="206"/>
      <c r="RB1" s="206"/>
      <c r="RC1" s="206"/>
      <c r="RD1" s="206" t="str">
        <f>$PX$1</f>
        <v>StdDisziplinen[Stufe]</v>
      </c>
      <c r="RE1" s="206"/>
      <c r="RZ1" s="82">
        <v>1</v>
      </c>
      <c r="SA1" s="82">
        <v>2</v>
      </c>
      <c r="SB1" s="82">
        <v>3</v>
      </c>
      <c r="SC1" s="82">
        <v>4</v>
      </c>
      <c r="TH1" s="82">
        <v>5</v>
      </c>
      <c r="TM1" s="82">
        <v>6</v>
      </c>
      <c r="TV1" s="82">
        <v>1</v>
      </c>
    </row>
    <row r="2" spans="1:593" s="82" customFormat="1" hidden="1" x14ac:dyDescent="0.3">
      <c r="A2" s="204" t="str">
        <f>Stammdaten!$AX$22</f>
        <v>D</v>
      </c>
      <c r="B2" s="18"/>
      <c r="C2" s="18"/>
      <c r="D2" s="18"/>
      <c r="E2" s="18"/>
      <c r="F2" s="18"/>
      <c r="G2" s="82">
        <v>1</v>
      </c>
      <c r="AA2" s="82">
        <v>2</v>
      </c>
      <c r="AU2" s="82">
        <v>3</v>
      </c>
      <c r="BO2" s="82">
        <v>4</v>
      </c>
      <c r="CS2" s="82">
        <f>G2</f>
        <v>1</v>
      </c>
      <c r="CV2" s="206"/>
      <c r="CW2" s="206"/>
      <c r="CX2" s="248"/>
      <c r="CY2" s="248"/>
      <c r="CZ2" s="248"/>
      <c r="DA2" s="248"/>
      <c r="DB2" s="248"/>
      <c r="DC2" s="248"/>
      <c r="DD2" s="82">
        <f>AA2</f>
        <v>2</v>
      </c>
      <c r="DG2" s="206"/>
      <c r="DH2" s="206"/>
      <c r="DI2" s="248"/>
      <c r="DJ2" s="248"/>
      <c r="DK2" s="248"/>
      <c r="DL2" s="248"/>
      <c r="DM2" s="248"/>
      <c r="DN2" s="248"/>
      <c r="DO2" s="82">
        <f>AU2</f>
        <v>3</v>
      </c>
      <c r="DR2" s="206"/>
      <c r="DS2" s="206"/>
      <c r="DT2" s="248"/>
      <c r="DU2" s="248"/>
      <c r="DV2" s="248"/>
      <c r="DW2" s="248"/>
      <c r="DX2" s="248"/>
      <c r="DY2" s="248"/>
      <c r="DZ2" s="82">
        <f>BO2</f>
        <v>4</v>
      </c>
      <c r="EF2" s="206"/>
      <c r="EG2" s="206"/>
      <c r="EH2" s="248"/>
      <c r="EI2" s="248"/>
      <c r="EJ2" s="248"/>
      <c r="EK2" s="248"/>
      <c r="EL2" s="248"/>
      <c r="EM2" s="248"/>
      <c r="FE2" s="82">
        <v>5</v>
      </c>
      <c r="GU2" s="206"/>
      <c r="GV2" s="206"/>
      <c r="GW2" s="206"/>
      <c r="GX2" s="206"/>
      <c r="GY2" s="206"/>
      <c r="GZ2" s="206"/>
      <c r="HG2" s="206"/>
      <c r="HH2" s="206"/>
      <c r="HI2" s="206"/>
      <c r="HJ2" s="206"/>
      <c r="HK2" s="206"/>
      <c r="HL2" s="206"/>
      <c r="HM2" s="206"/>
      <c r="HN2" s="206"/>
      <c r="HO2" s="206"/>
      <c r="HP2" s="206"/>
      <c r="HQ2" s="206"/>
      <c r="HR2" s="206"/>
      <c r="HS2" s="206"/>
      <c r="HT2" s="206"/>
      <c r="HU2" s="206"/>
      <c r="HV2" s="206" t="str">
        <f>$CX$12</f>
        <v>StdDisziplinen[Bewertung2]</v>
      </c>
      <c r="HW2" s="206"/>
      <c r="HX2" s="206"/>
      <c r="HY2" s="206"/>
      <c r="HZ2" s="206" t="str">
        <f>$A$4&amp;"[MaxTextSt"</f>
        <v>StdDisziplinen[MaxTextSt</v>
      </c>
      <c r="IB2" s="206"/>
      <c r="IC2" s="206"/>
      <c r="ID2" s="206"/>
      <c r="IE2" s="206"/>
      <c r="IF2" s="206"/>
      <c r="IG2" s="206"/>
      <c r="IH2" s="206"/>
      <c r="II2" s="206"/>
      <c r="IJ2" s="206"/>
      <c r="IK2" s="206" t="str">
        <f>$CX$12</f>
        <v>StdDisziplinen[Bewertung2]</v>
      </c>
      <c r="IL2" s="206"/>
      <c r="IM2" s="206"/>
      <c r="IN2" s="206"/>
      <c r="IO2" s="82" t="str">
        <f>$HZ$2</f>
        <v>StdDisziplinen[MaxTextSt</v>
      </c>
      <c r="IQ2" s="206"/>
      <c r="IR2" s="206"/>
      <c r="IS2" s="206"/>
      <c r="IT2" s="206" t="str">
        <f>$CX$12</f>
        <v>StdDisziplinen[Bewertung2]</v>
      </c>
      <c r="IU2" s="206"/>
      <c r="IV2" s="206"/>
      <c r="IW2" s="206"/>
      <c r="IX2" s="82" t="str">
        <f>$HZ$2</f>
        <v>StdDisziplinen[MaxTextSt</v>
      </c>
      <c r="JS2" s="206"/>
      <c r="JU2" s="82" t="str">
        <f>$HZ$2</f>
        <v>StdDisziplinen[MaxTextSt</v>
      </c>
      <c r="JW2" s="206">
        <v>5</v>
      </c>
      <c r="JX2" s="206"/>
      <c r="JY2" s="206"/>
      <c r="JZ2" s="206"/>
      <c r="KA2" s="206"/>
      <c r="KB2" s="206"/>
      <c r="KC2" s="206"/>
      <c r="KD2" s="206"/>
      <c r="MB2" s="82" t="str">
        <f>Stammdaten!$AX$28</f>
        <v>Resultat</v>
      </c>
      <c r="MD2" s="82" t="str">
        <f>Stammdaten!$AX$31</f>
        <v>[@[Skala-Wert]]</v>
      </c>
      <c r="MG2" s="18" t="str">
        <f>$HZ$2</f>
        <v>StdDisziplinen[MaxTextSt</v>
      </c>
      <c r="OO2" s="206"/>
      <c r="OP2" s="206"/>
      <c r="OQ2" s="206"/>
      <c r="OR2" s="206"/>
      <c r="OS2" s="206"/>
      <c r="OT2" s="206"/>
      <c r="PA2" s="206"/>
      <c r="PB2" s="206"/>
      <c r="PC2" s="206"/>
      <c r="PD2" s="206"/>
      <c r="PE2" s="206"/>
      <c r="PF2" s="206"/>
      <c r="PG2" s="206"/>
      <c r="PH2" s="206"/>
      <c r="PI2" s="206"/>
      <c r="PJ2" s="206"/>
      <c r="PK2" s="206"/>
      <c r="PL2" s="206"/>
      <c r="PM2" s="206"/>
      <c r="PN2" s="206"/>
      <c r="PO2" s="206"/>
      <c r="PP2" s="206" t="str">
        <f>$CX$12</f>
        <v>StdDisziplinen[Bewertung2]</v>
      </c>
      <c r="PQ2" s="206" t="str">
        <f>Stammdaten!$AX$29</f>
        <v>[@Resultat]</v>
      </c>
      <c r="PR2" s="206"/>
      <c r="PS2" s="206"/>
      <c r="PT2" s="206" t="str">
        <f>Stammdaten!$AX$31</f>
        <v>[@[Skala-Wert]]</v>
      </c>
      <c r="PU2" s="206"/>
      <c r="PV2" s="206"/>
      <c r="PW2" s="206"/>
      <c r="PX2" s="82" t="str">
        <f>$HZ$2</f>
        <v>StdDisziplinen[MaxTextSt</v>
      </c>
      <c r="PZ2" s="206"/>
      <c r="QA2" s="206"/>
      <c r="QB2" s="206"/>
      <c r="QC2" s="206"/>
      <c r="QD2" s="206"/>
      <c r="QE2" s="206"/>
      <c r="QF2" s="206"/>
      <c r="QG2" s="206"/>
      <c r="QH2" s="206"/>
      <c r="QI2" s="206" t="str">
        <f>$CX$12</f>
        <v>StdDisziplinen[Bewertung2]</v>
      </c>
      <c r="QJ2" s="206" t="str">
        <f>$PQ$2</f>
        <v>[@Resultat]</v>
      </c>
      <c r="QK2" s="206"/>
      <c r="QL2" s="206"/>
      <c r="QM2" s="206" t="str">
        <f>$PT$2</f>
        <v>[@[Skala-Wert]]</v>
      </c>
      <c r="QN2" s="206"/>
      <c r="QO2" s="206"/>
      <c r="QP2" s="206"/>
      <c r="QQ2" s="82" t="str">
        <f>$HZ$2</f>
        <v>StdDisziplinen[MaxTextSt</v>
      </c>
      <c r="QS2" s="206"/>
      <c r="QT2" s="206"/>
      <c r="QU2" s="206"/>
      <c r="QV2" s="206" t="str">
        <f>$CX$12</f>
        <v>StdDisziplinen[Bewertung2]</v>
      </c>
      <c r="QW2" s="206" t="str">
        <f>$PQ$2</f>
        <v>[@Resultat]</v>
      </c>
      <c r="QX2" s="206"/>
      <c r="QY2" s="206"/>
      <c r="QZ2" s="206" t="str">
        <f>$PT$2</f>
        <v>[@[Skala-Wert]]</v>
      </c>
      <c r="RA2" s="206"/>
      <c r="RB2" s="206"/>
      <c r="RC2" s="206"/>
      <c r="RD2" s="82" t="str">
        <f>$HZ$2</f>
        <v>StdDisziplinen[MaxTextSt</v>
      </c>
      <c r="TV2" s="82">
        <v>3</v>
      </c>
      <c r="UH2" s="82">
        <v>27</v>
      </c>
      <c r="UQ2" s="82">
        <v>28</v>
      </c>
      <c r="UZ2" s="82">
        <v>1</v>
      </c>
    </row>
    <row r="3" spans="1:593" s="82" customFormat="1" hidden="1" x14ac:dyDescent="0.3">
      <c r="A3" s="82" t="str">
        <f>Stammdaten!$AX$19</f>
        <v>Dispensiert</v>
      </c>
      <c r="B3" s="18"/>
      <c r="C3" s="18"/>
      <c r="D3" s="18"/>
      <c r="E3" s="18"/>
      <c r="F3" s="18"/>
      <c r="G3" s="82">
        <v>1</v>
      </c>
      <c r="Q3" s="82">
        <v>2</v>
      </c>
      <c r="AA3" s="82">
        <v>3</v>
      </c>
      <c r="AK3" s="82">
        <v>4</v>
      </c>
      <c r="AU3" s="82">
        <v>5</v>
      </c>
      <c r="BE3" s="82">
        <v>6</v>
      </c>
      <c r="BO3" s="82">
        <v>7</v>
      </c>
      <c r="BY3" s="82">
        <v>8</v>
      </c>
      <c r="CI3" s="82">
        <v>9</v>
      </c>
      <c r="CS3" s="82">
        <f>G3</f>
        <v>1</v>
      </c>
      <c r="CT3" s="82">
        <f>Q3</f>
        <v>2</v>
      </c>
      <c r="CV3" s="206"/>
      <c r="CW3" s="206"/>
      <c r="CX3" s="248"/>
      <c r="CY3" s="248"/>
      <c r="CZ3" s="248"/>
      <c r="DA3" s="248"/>
      <c r="DB3" s="248"/>
      <c r="DC3" s="248"/>
      <c r="DD3" s="82">
        <f>AA3</f>
        <v>3</v>
      </c>
      <c r="DE3" s="82">
        <f>AK3</f>
        <v>4</v>
      </c>
      <c r="DG3" s="206"/>
      <c r="DH3" s="206"/>
      <c r="DI3" s="248"/>
      <c r="DJ3" s="248"/>
      <c r="DK3" s="248"/>
      <c r="DL3" s="248"/>
      <c r="DM3" s="248"/>
      <c r="DN3" s="248"/>
      <c r="DO3" s="82">
        <f>AU3</f>
        <v>5</v>
      </c>
      <c r="DP3" s="82">
        <f>BE3</f>
        <v>6</v>
      </c>
      <c r="DR3" s="206"/>
      <c r="DS3" s="206"/>
      <c r="DT3" s="248"/>
      <c r="DU3" s="248"/>
      <c r="DV3" s="248"/>
      <c r="DW3" s="248"/>
      <c r="DX3" s="248"/>
      <c r="DY3" s="248"/>
      <c r="DZ3" s="82">
        <f>BO3</f>
        <v>7</v>
      </c>
      <c r="EA3" s="82">
        <f>BY3</f>
        <v>8</v>
      </c>
      <c r="EB3" s="82">
        <f>CI3</f>
        <v>9</v>
      </c>
      <c r="EF3" s="206"/>
      <c r="EG3" s="206"/>
      <c r="EH3" s="248"/>
      <c r="EI3" s="248"/>
      <c r="EJ3" s="248"/>
      <c r="EK3" s="248"/>
      <c r="EL3" s="248"/>
      <c r="EM3" s="248"/>
      <c r="FE3" s="82">
        <v>10</v>
      </c>
      <c r="FK3" s="82">
        <v>11</v>
      </c>
      <c r="FQ3" s="82">
        <v>12</v>
      </c>
      <c r="FW3" s="82">
        <v>13</v>
      </c>
      <c r="GC3" s="82">
        <v>14</v>
      </c>
      <c r="GI3" s="82">
        <v>15</v>
      </c>
      <c r="GO3" s="82">
        <f>FE3</f>
        <v>10</v>
      </c>
      <c r="GP3" s="82">
        <f>FK3</f>
        <v>11</v>
      </c>
      <c r="GQ3" s="82">
        <f>FQ3</f>
        <v>12</v>
      </c>
      <c r="GR3" s="82">
        <f>FW3</f>
        <v>13</v>
      </c>
      <c r="GS3" s="82">
        <f>GC3</f>
        <v>14</v>
      </c>
      <c r="GT3" s="82">
        <f>GI3</f>
        <v>15</v>
      </c>
      <c r="GU3" s="206"/>
      <c r="GV3" s="206"/>
      <c r="GW3" s="206"/>
      <c r="GX3" s="206"/>
      <c r="GY3" s="206"/>
      <c r="GZ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  <c r="IO3" s="206"/>
      <c r="IP3" s="206"/>
      <c r="IQ3" s="206"/>
      <c r="IR3" s="206"/>
      <c r="IS3" s="206"/>
      <c r="IT3" s="206"/>
      <c r="IU3" s="206"/>
      <c r="IV3" s="206"/>
      <c r="IW3" s="206"/>
      <c r="IX3" s="206"/>
      <c r="IY3" s="206"/>
      <c r="JJ3" s="82">
        <v>16</v>
      </c>
      <c r="JS3" s="206"/>
      <c r="JU3" s="18"/>
      <c r="JV3" s="206"/>
      <c r="JW3" s="206"/>
      <c r="JX3" s="206">
        <v>16</v>
      </c>
      <c r="JY3" s="206"/>
      <c r="JZ3" s="206"/>
      <c r="KA3" s="206"/>
      <c r="KB3" s="206"/>
      <c r="KC3" s="206"/>
      <c r="KD3" s="206"/>
      <c r="KI3" s="82">
        <v>17</v>
      </c>
      <c r="KS3" s="82">
        <v>18</v>
      </c>
      <c r="LC3" s="82">
        <v>19</v>
      </c>
      <c r="LM3" s="82">
        <f>KI3</f>
        <v>17</v>
      </c>
      <c r="LN3" s="82">
        <f>KS3</f>
        <v>18</v>
      </c>
      <c r="LO3" s="82">
        <f>LC3</f>
        <v>19</v>
      </c>
      <c r="MB3" s="82" t="str">
        <f>Stammdaten!$AX$29</f>
        <v>[@Resultat]</v>
      </c>
      <c r="MG3" s="18"/>
      <c r="MH3" s="206"/>
      <c r="ML3" s="82">
        <v>20</v>
      </c>
      <c r="MV3" s="82">
        <v>21</v>
      </c>
      <c r="NF3" s="82">
        <v>22</v>
      </c>
      <c r="NP3" s="82">
        <v>23</v>
      </c>
      <c r="NZ3" s="82">
        <v>24</v>
      </c>
      <c r="OJ3" s="82">
        <f>ML3</f>
        <v>20</v>
      </c>
      <c r="OK3" s="82">
        <f>MV3</f>
        <v>21</v>
      </c>
      <c r="OL3" s="82">
        <f>NF3</f>
        <v>22</v>
      </c>
      <c r="OM3" s="82">
        <f>NP3</f>
        <v>23</v>
      </c>
      <c r="ON3" s="82">
        <f>NZ3</f>
        <v>24</v>
      </c>
      <c r="OO3" s="206"/>
      <c r="OP3" s="206"/>
      <c r="OQ3" s="206"/>
      <c r="OR3" s="206"/>
      <c r="OS3" s="206"/>
      <c r="OT3" s="206"/>
      <c r="PA3" s="206"/>
      <c r="PB3" s="206"/>
      <c r="PC3" s="206"/>
      <c r="PD3" s="206"/>
      <c r="PE3" s="206"/>
      <c r="PF3" s="206"/>
      <c r="PG3" s="206"/>
      <c r="PH3" s="206"/>
      <c r="PI3" s="206"/>
      <c r="PJ3" s="206"/>
      <c r="PK3" s="206"/>
      <c r="PL3" s="206"/>
      <c r="PM3" s="206"/>
      <c r="PN3" s="206"/>
      <c r="PO3" s="206"/>
      <c r="PP3" s="206"/>
      <c r="PQ3" s="206"/>
      <c r="PR3" s="206"/>
      <c r="PS3" s="206"/>
      <c r="PT3" s="206"/>
      <c r="PU3" s="206"/>
      <c r="PV3" s="206"/>
      <c r="PW3" s="206"/>
      <c r="PX3" s="206"/>
      <c r="PY3" s="206"/>
      <c r="PZ3" s="206"/>
      <c r="QA3" s="206"/>
      <c r="QB3" s="206"/>
      <c r="QC3" s="206"/>
      <c r="QD3" s="206"/>
      <c r="QE3" s="206"/>
      <c r="QF3" s="206"/>
      <c r="QG3" s="206"/>
      <c r="QH3" s="206"/>
      <c r="QI3" s="206"/>
      <c r="QJ3" s="206"/>
      <c r="QK3" s="206"/>
      <c r="QL3" s="206"/>
      <c r="QM3" s="206"/>
      <c r="QN3" s="206"/>
      <c r="QO3" s="206"/>
      <c r="QP3" s="206"/>
      <c r="QQ3" s="206"/>
      <c r="QR3" s="206"/>
      <c r="QS3" s="206"/>
      <c r="QT3" s="206"/>
      <c r="QU3" s="206"/>
      <c r="QV3" s="206"/>
      <c r="QW3" s="206"/>
      <c r="QX3" s="206"/>
      <c r="QY3" s="206"/>
      <c r="QZ3" s="206"/>
      <c r="RA3" s="206"/>
      <c r="RB3" s="206"/>
      <c r="RC3" s="206"/>
      <c r="RD3" s="206"/>
      <c r="RE3" s="206"/>
      <c r="TH3" s="82">
        <v>25</v>
      </c>
      <c r="TM3" s="82">
        <v>26</v>
      </c>
      <c r="TV3" s="82">
        <v>3</v>
      </c>
      <c r="UB3" s="82">
        <v>4</v>
      </c>
      <c r="UH3" s="82">
        <f>UH2</f>
        <v>27</v>
      </c>
      <c r="UQ3" s="82">
        <v>28</v>
      </c>
      <c r="UZ3" s="82">
        <v>1</v>
      </c>
      <c r="VF3" s="82">
        <v>2</v>
      </c>
      <c r="VL3" s="82">
        <v>29</v>
      </c>
    </row>
    <row r="4" spans="1:593" s="82" customFormat="1" hidden="1" x14ac:dyDescent="0.3">
      <c r="A4" s="82" t="s">
        <v>342</v>
      </c>
      <c r="B4" s="18" t="str">
        <f>$A$4&amp;"[StdDisziplin]"</f>
        <v>StdDisziplinen[StdDisziplin]</v>
      </c>
      <c r="C4" s="18"/>
      <c r="D4" s="18"/>
      <c r="E4" s="18"/>
      <c r="F4" s="18"/>
      <c r="CS4" s="39" t="str">
        <f>INDEX(StdDisziplinen[TabÜberschriftDurchschnitt],CS$3)</f>
        <v>SechzigmLaufNote</v>
      </c>
      <c r="CT4" s="39" t="str">
        <f>INDEX(StdDisziplinen[TabÜberschriftDurchschnitt],CT$3)</f>
        <v>AchtzigmLaufNote</v>
      </c>
      <c r="CV4" s="206"/>
      <c r="CW4" s="206"/>
      <c r="CX4" s="248"/>
      <c r="CY4" s="248"/>
      <c r="CZ4" s="248"/>
      <c r="DA4" s="248"/>
      <c r="DB4" s="248"/>
      <c r="DC4" s="248"/>
      <c r="DD4" s="39" t="str">
        <f>INDEX(StdDisziplinen[TabÜberschriftDurchschnitt],DD$3)</f>
        <v>ZwölfMinLaufHalleNote</v>
      </c>
      <c r="DE4" s="39" t="str">
        <f>INDEX(StdDisziplinen[TabÜberschriftDurchschnitt],DE$3)</f>
        <v>ZwölfMinLaufimFreienNote</v>
      </c>
      <c r="DG4" s="206"/>
      <c r="DH4" s="206"/>
      <c r="DI4" s="248"/>
      <c r="DJ4" s="248"/>
      <c r="DK4" s="248"/>
      <c r="DL4" s="248"/>
      <c r="DM4" s="248"/>
      <c r="DN4" s="248"/>
      <c r="DO4" s="39" t="str">
        <f>INDEX(StdDisziplinen[TabÜberschriftDurchschnitt],DO$3)</f>
        <v>HochsprungNote</v>
      </c>
      <c r="DP4" s="39" t="str">
        <f>INDEX(StdDisziplinen[TabÜberschriftDurchschnitt],DP$3)</f>
        <v>WeitsprungNote</v>
      </c>
      <c r="DR4" s="206"/>
      <c r="DS4" s="206"/>
      <c r="DT4" s="248"/>
      <c r="DU4" s="248"/>
      <c r="DV4" s="248"/>
      <c r="DW4" s="248"/>
      <c r="DX4" s="248"/>
      <c r="DY4" s="248"/>
      <c r="DZ4" s="39" t="str">
        <f>INDEX(StdDisziplinen[TabÜberschriftDurchschnitt],DZ$3)</f>
        <v>BallwurfNote</v>
      </c>
      <c r="EA4" s="39" t="str">
        <f>INDEX(StdDisziplinen[TabÜberschriftDurchschnitt],EA$3)</f>
        <v>KugelstossenNote</v>
      </c>
      <c r="EB4" s="39" t="str">
        <f>INDEX(StdDisziplinen[TabÜberschriftDurchschnitt],EB$3)</f>
        <v>SpeerwurfNote</v>
      </c>
      <c r="EF4" s="206"/>
      <c r="EG4" s="206"/>
      <c r="EH4" s="248"/>
      <c r="EI4" s="248"/>
      <c r="EJ4" s="248"/>
      <c r="EK4" s="248"/>
      <c r="EL4" s="248"/>
      <c r="EM4" s="248"/>
      <c r="FA4" s="82">
        <v>4</v>
      </c>
      <c r="FC4" s="82">
        <v>0.1</v>
      </c>
      <c r="FE4" s="82">
        <f>IF(FE$16=Stammdaten!$F$10,INDEX(StdDisziplinen[Maximalwert_OS1],Resultatmappe!FE$3),INDEX(StdDisziplinen[Maximalwert_OS2],Resultatmappe!FE$3))</f>
        <v>20</v>
      </c>
      <c r="FK4" s="82">
        <f>IF(FK$16=Stammdaten!$F$10,INDEX(StdDisziplinen[Maximalwert_OS1],Resultatmappe!FK$3),INDEX(StdDisziplinen[Maximalwert_OS2],Resultatmappe!FK$3))</f>
        <v>20</v>
      </c>
      <c r="FQ4" s="82">
        <f>IF(FQ$16=Stammdaten!$F$10,INDEX(StdDisziplinen[Maximalwert_OS1],Resultatmappe!FQ$3),INDEX(StdDisziplinen[Maximalwert_OS2],Resultatmappe!FQ$3))</f>
        <v>20</v>
      </c>
      <c r="FW4" s="82">
        <f>IF(FW$16=Stammdaten!$F$10,INDEX(StdDisziplinen[Maximalwert_OS1],Resultatmappe!FW$3),INDEX(StdDisziplinen[Maximalwert_OS2],Resultatmappe!FW$3))</f>
        <v>20</v>
      </c>
      <c r="GC4" s="82">
        <f>IF(GC$16=Stammdaten!$F$10,INDEX(StdDisziplinen[Maximalwert_OS1],Resultatmappe!GC$3),INDEX(StdDisziplinen[Maximalwert_OS2],Resultatmappe!GC$3))</f>
        <v>20</v>
      </c>
      <c r="GI4" s="82">
        <f>IF(GI$16=Stammdaten!$F$10,INDEX(StdDisziplinen[Maximalwert_OS1],Resultatmappe!GI$3),INDEX(StdDisziplinen[Maximalwert_OS2],Resultatmappe!GI$3))</f>
        <v>20</v>
      </c>
      <c r="GU4" s="206"/>
      <c r="GV4" s="206"/>
      <c r="GW4" s="206"/>
      <c r="GX4" s="206"/>
      <c r="GY4" s="206"/>
      <c r="GZ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/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/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  <c r="IO4" s="206"/>
      <c r="IP4" s="206"/>
      <c r="IQ4" s="206"/>
      <c r="IR4" s="206"/>
      <c r="IS4" s="206"/>
      <c r="IT4" s="206"/>
      <c r="IU4" s="206"/>
      <c r="IV4" s="206"/>
      <c r="IW4" s="206"/>
      <c r="IX4" s="206"/>
      <c r="IY4" s="206"/>
      <c r="IZ4" s="82">
        <f>INDEX(StdBS[AnzahlGeforderteDisziplinen],$FE$1)</f>
        <v>3</v>
      </c>
      <c r="JJ4" s="82">
        <f ca="1">IF(JJ$16=Stammdaten!$F$10,INDEX(StdDisziplinen[Maximalwert_OS1],Resultatmappe!JJ$3),INDEX(StdDisziplinen[Maximalwert_OS2],Resultatmappe!JJ$3))</f>
        <v>26</v>
      </c>
      <c r="JS4" s="206"/>
      <c r="JW4" s="206"/>
      <c r="JX4" s="206"/>
      <c r="JY4" s="206"/>
      <c r="JZ4" s="206"/>
      <c r="KA4" s="206"/>
      <c r="KB4" s="206"/>
      <c r="KC4" s="206"/>
      <c r="KD4" s="206"/>
      <c r="KE4" s="18"/>
      <c r="KG4" s="82">
        <v>0.1</v>
      </c>
      <c r="KI4" s="82">
        <f ca="1">IF(KI$16=Stammdaten!$F$10,INDEX(StdDisziplinen[Maximalwert_OS1],Resultatmappe!KI$3),INDEX(StdDisziplinen[Maximalwert_OS2],Resultatmappe!KI$3))</f>
        <v>12</v>
      </c>
      <c r="KS4" s="82">
        <f ca="1">IF(KS$16=Stammdaten!$F$10,INDEX(StdDisziplinen[Maximalwert_OS1],Resultatmappe!KS$3),INDEX(StdDisziplinen[Maximalwert_OS2],Resultatmappe!KS$3))</f>
        <v>18</v>
      </c>
      <c r="LC4" s="82">
        <f ca="1">IF(LC$16=Stammdaten!$F$10,INDEX(StdDisziplinen[Maximalwert_OS1],Resultatmappe!LC$3),INDEX(StdDisziplinen[Maximalwert_OS2],Resultatmappe!LC$3))</f>
        <v>12</v>
      </c>
      <c r="MJ4" s="82">
        <f>INDEX(StdBS[AnzahlGeforderteDisziplinen],$KI$1)</f>
        <v>1</v>
      </c>
      <c r="NZ4" s="82">
        <f ca="1">IF(NZ$16=Stammdaten!$F$10,INDEX(StdDisziplinen[Maximalwert_OS1],Resultatmappe!NZ$3),INDEX(StdDisziplinen[Maximalwert_OS2],Resultatmappe!NZ$3))</f>
        <v>36</v>
      </c>
      <c r="OO4" s="206"/>
      <c r="OP4" s="206"/>
      <c r="OQ4" s="206"/>
      <c r="OR4" s="206"/>
      <c r="OS4" s="206"/>
      <c r="OT4" s="206"/>
      <c r="OU4" s="82">
        <f>$RV$4</f>
        <v>3</v>
      </c>
      <c r="PA4" s="206"/>
      <c r="PB4" s="206"/>
      <c r="PC4" s="206"/>
      <c r="PD4" s="206"/>
      <c r="PE4" s="206"/>
      <c r="PF4" s="206"/>
      <c r="PG4" s="206"/>
      <c r="PH4" s="206"/>
      <c r="PI4" s="206"/>
      <c r="PJ4" s="206"/>
      <c r="PK4" s="206"/>
      <c r="PL4" s="206"/>
      <c r="PM4" s="206"/>
      <c r="PN4" s="206"/>
      <c r="PO4" s="206"/>
      <c r="PP4" s="206"/>
      <c r="PQ4" s="206"/>
      <c r="PR4" s="206"/>
      <c r="PS4" s="206"/>
      <c r="PT4" s="206"/>
      <c r="PU4" s="206"/>
      <c r="PV4" s="206"/>
      <c r="PW4" s="206"/>
      <c r="PX4" s="206"/>
      <c r="PY4" s="206"/>
      <c r="PZ4" s="206"/>
      <c r="QA4" s="206"/>
      <c r="QB4" s="206"/>
      <c r="QC4" s="206"/>
      <c r="QD4" s="206"/>
      <c r="QE4" s="206"/>
      <c r="QF4" s="206"/>
      <c r="QG4" s="206"/>
      <c r="QH4" s="206"/>
      <c r="QI4" s="206"/>
      <c r="QJ4" s="206"/>
      <c r="QK4" s="206"/>
      <c r="QL4" s="206"/>
      <c r="QM4" s="206"/>
      <c r="QN4" s="206"/>
      <c r="QO4" s="206"/>
      <c r="QP4" s="206"/>
      <c r="QQ4" s="206"/>
      <c r="QR4" s="206"/>
      <c r="QS4" s="206"/>
      <c r="QT4" s="206"/>
      <c r="QU4" s="206"/>
      <c r="QV4" s="206"/>
      <c r="QW4" s="206"/>
      <c r="QX4" s="206"/>
      <c r="QY4" s="206"/>
      <c r="QZ4" s="206"/>
      <c r="RA4" s="206"/>
      <c r="RB4" s="206"/>
      <c r="RC4" s="206"/>
      <c r="RD4" s="206"/>
      <c r="RE4" s="206"/>
      <c r="RV4" s="213">
        <f>INDEX(StdBS[AnzahlGeforderteDisziplinen],$ML$1)</f>
        <v>3</v>
      </c>
      <c r="RX4" s="82">
        <v>0.1</v>
      </c>
      <c r="RZ4" s="233"/>
      <c r="SA4" s="233"/>
      <c r="SB4" s="233"/>
      <c r="SC4" s="233"/>
      <c r="SD4" s="233"/>
      <c r="SE4" s="233"/>
      <c r="SF4" s="233"/>
      <c r="SG4" s="233"/>
      <c r="TF4" s="82">
        <v>4</v>
      </c>
    </row>
    <row r="5" spans="1:593" s="82" customFormat="1" hidden="1" x14ac:dyDescent="0.3">
      <c r="B5" s="18" t="str">
        <f>$A$4&amp;"[ID]"</f>
        <v>StdDisziplinen[ID]</v>
      </c>
      <c r="C5" s="18"/>
      <c r="D5" s="18"/>
      <c r="E5" s="18"/>
      <c r="F5" s="18"/>
      <c r="CS5" s="82">
        <f>ROW(CS$18)</f>
        <v>18</v>
      </c>
      <c r="CT5" s="82">
        <f>ROW(CT$18)</f>
        <v>18</v>
      </c>
      <c r="CV5" s="206"/>
      <c r="CW5" s="206"/>
      <c r="CX5" s="248"/>
      <c r="CY5" s="248"/>
      <c r="CZ5" s="248"/>
      <c r="DA5" s="248"/>
      <c r="DB5" s="248"/>
      <c r="DC5" s="248"/>
      <c r="DD5" s="82">
        <f>ROW(DD$18)</f>
        <v>18</v>
      </c>
      <c r="DE5" s="82">
        <f>ROW(DE$18)</f>
        <v>18</v>
      </c>
      <c r="DG5" s="206"/>
      <c r="DH5" s="206"/>
      <c r="DI5" s="248"/>
      <c r="DJ5" s="248"/>
      <c r="DK5" s="248"/>
      <c r="DL5" s="248"/>
      <c r="DM5" s="248"/>
      <c r="DN5" s="248"/>
      <c r="DO5" s="82">
        <f>ROW(DO$18)</f>
        <v>18</v>
      </c>
      <c r="DP5" s="82">
        <f>ROW(DP$18)</f>
        <v>18</v>
      </c>
      <c r="DR5" s="206"/>
      <c r="DS5" s="206"/>
      <c r="DT5" s="248"/>
      <c r="DU5" s="248"/>
      <c r="DV5" s="248"/>
      <c r="DW5" s="248"/>
      <c r="DX5" s="248"/>
      <c r="DY5" s="248"/>
      <c r="DZ5" s="82">
        <f>ROW(DZ$18)</f>
        <v>18</v>
      </c>
      <c r="EA5" s="82">
        <f>ROW(EA$18)</f>
        <v>18</v>
      </c>
      <c r="EB5" s="82">
        <f>ROW(EB$18)</f>
        <v>18</v>
      </c>
      <c r="EF5" s="206"/>
      <c r="EG5" s="206"/>
      <c r="EH5" s="248"/>
      <c r="EI5" s="248"/>
      <c r="EJ5" s="248"/>
      <c r="EK5" s="248"/>
      <c r="EL5" s="248"/>
      <c r="EM5" s="248"/>
      <c r="GU5" s="206"/>
      <c r="GV5" s="206"/>
      <c r="GW5" s="206"/>
      <c r="GX5" s="206"/>
      <c r="GY5" s="206"/>
      <c r="GZ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  <c r="IO5" s="206"/>
      <c r="IP5" s="206"/>
      <c r="IQ5" s="206"/>
      <c r="IR5" s="206"/>
      <c r="IS5" s="206"/>
      <c r="IT5" s="206"/>
      <c r="IU5" s="206"/>
      <c r="IV5" s="206"/>
      <c r="IW5" s="206"/>
      <c r="IX5" s="206"/>
      <c r="IY5" s="206"/>
      <c r="JS5" s="206"/>
      <c r="JW5" s="206"/>
      <c r="JX5" s="206"/>
      <c r="JY5" s="206"/>
      <c r="JZ5" s="206"/>
      <c r="KA5" s="206"/>
      <c r="KB5" s="206"/>
      <c r="KC5" s="206"/>
      <c r="KD5" s="206"/>
      <c r="OO5" s="206"/>
      <c r="OP5" s="206"/>
      <c r="OQ5" s="206"/>
      <c r="OR5" s="206"/>
      <c r="OS5" s="206"/>
      <c r="OT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Z5" s="233"/>
      <c r="SA5" s="233"/>
      <c r="SB5" s="233"/>
      <c r="SC5" s="233"/>
      <c r="SD5" s="233"/>
      <c r="SE5" s="233"/>
      <c r="SF5" s="233"/>
      <c r="SG5" s="233"/>
      <c r="TF5" s="82">
        <v>0.25</v>
      </c>
    </row>
    <row r="6" spans="1:593" s="82" customFormat="1" hidden="1" x14ac:dyDescent="0.3">
      <c r="A6" s="246" t="s">
        <v>305</v>
      </c>
      <c r="B6" s="247"/>
      <c r="C6" s="18"/>
      <c r="D6" s="18"/>
      <c r="E6" s="18"/>
      <c r="F6" s="18"/>
      <c r="CV6" s="206"/>
      <c r="CW6" s="206">
        <f>COLUMN()</f>
        <v>101</v>
      </c>
      <c r="CX6" s="248">
        <f>COLUMN()</f>
        <v>102</v>
      </c>
      <c r="CY6" s="248"/>
      <c r="DA6" s="248">
        <f>COLUMN()</f>
        <v>105</v>
      </c>
      <c r="DB6" s="248"/>
      <c r="DC6" s="248">
        <f>COLUMN()</f>
        <v>107</v>
      </c>
      <c r="DG6" s="206"/>
      <c r="DH6" s="206">
        <f>COLUMN()</f>
        <v>112</v>
      </c>
      <c r="DI6" s="248">
        <f>COLUMN()</f>
        <v>113</v>
      </c>
      <c r="DJ6" s="248"/>
      <c r="DL6" s="248">
        <f>COLUMN()</f>
        <v>116</v>
      </c>
      <c r="DM6" s="248"/>
      <c r="DN6" s="248">
        <f>COLUMN()</f>
        <v>118</v>
      </c>
      <c r="DR6" s="206"/>
      <c r="DS6" s="206">
        <f>COLUMN()</f>
        <v>123</v>
      </c>
      <c r="DT6" s="248">
        <f>COLUMN()</f>
        <v>124</v>
      </c>
      <c r="DU6" s="248"/>
      <c r="DW6" s="248">
        <f>COLUMN()</f>
        <v>127</v>
      </c>
      <c r="DX6" s="248"/>
      <c r="DY6" s="248">
        <f>COLUMN()</f>
        <v>129</v>
      </c>
      <c r="EF6" s="206"/>
      <c r="EG6" s="206">
        <f>COLUMN()</f>
        <v>137</v>
      </c>
      <c r="EH6" s="248">
        <f>COLUMN()</f>
        <v>138</v>
      </c>
      <c r="EI6" s="248"/>
      <c r="EK6" s="248">
        <f>COLUMN()</f>
        <v>141</v>
      </c>
      <c r="EL6" s="248"/>
      <c r="EM6" s="248">
        <f>COLUMN()</f>
        <v>143</v>
      </c>
      <c r="EN6" s="82">
        <f>COLUMN()</f>
        <v>144</v>
      </c>
      <c r="GU6" s="206">
        <f>COLUMN()</f>
        <v>203</v>
      </c>
      <c r="GV6" s="206"/>
      <c r="GW6" s="206"/>
      <c r="GX6" s="206"/>
      <c r="GY6" s="206"/>
      <c r="GZ6" s="206"/>
      <c r="HG6" s="206"/>
      <c r="HH6" s="206"/>
      <c r="HI6" s="206"/>
      <c r="HJ6" s="206"/>
      <c r="HK6" s="206"/>
      <c r="HL6" s="206"/>
      <c r="HM6" s="206"/>
      <c r="HN6" s="206"/>
      <c r="HO6" s="206"/>
      <c r="HP6" s="206"/>
      <c r="HQ6" s="206"/>
      <c r="HR6" s="206"/>
      <c r="HS6" s="206"/>
      <c r="HT6" s="206">
        <f>COLUMN()</f>
        <v>228</v>
      </c>
      <c r="HU6" s="206">
        <f>COLUMN()</f>
        <v>229</v>
      </c>
      <c r="HV6" s="206">
        <f>COLUMN()</f>
        <v>230</v>
      </c>
      <c r="HW6" s="206"/>
      <c r="HX6" s="206">
        <f>COLUMN()</f>
        <v>232</v>
      </c>
      <c r="HY6" s="206"/>
      <c r="HZ6" s="206"/>
      <c r="IA6" s="206">
        <f>COLUMN()</f>
        <v>235</v>
      </c>
      <c r="IB6" s="206"/>
      <c r="IC6" s="206"/>
      <c r="ID6" s="206"/>
      <c r="IE6" s="206"/>
      <c r="IF6" s="206"/>
      <c r="IG6" s="206"/>
      <c r="IH6" s="206"/>
      <c r="II6" s="206">
        <f>COLUMN()</f>
        <v>243</v>
      </c>
      <c r="IJ6" s="206">
        <f>COLUMN()</f>
        <v>244</v>
      </c>
      <c r="IK6" s="206">
        <f>COLUMN()</f>
        <v>245</v>
      </c>
      <c r="IL6" s="206"/>
      <c r="IM6" s="206">
        <f>COLUMN()</f>
        <v>247</v>
      </c>
      <c r="IN6" s="206"/>
      <c r="IO6" s="206"/>
      <c r="IP6" s="206">
        <f>COLUMN()</f>
        <v>250</v>
      </c>
      <c r="IQ6" s="206"/>
      <c r="IR6" s="206">
        <f>COLUMN()</f>
        <v>252</v>
      </c>
      <c r="IS6" s="206">
        <f>COLUMN()</f>
        <v>253</v>
      </c>
      <c r="IT6" s="206">
        <f>COLUMN()</f>
        <v>254</v>
      </c>
      <c r="IU6" s="206"/>
      <c r="IV6" s="206">
        <f>COLUMN()</f>
        <v>256</v>
      </c>
      <c r="IW6" s="206"/>
      <c r="IX6" s="206"/>
      <c r="IY6" s="206">
        <f>COLUMN()</f>
        <v>259</v>
      </c>
      <c r="JO6" s="82">
        <f>COLUMN()</f>
        <v>275</v>
      </c>
      <c r="JS6" s="206"/>
      <c r="JT6" s="206"/>
      <c r="JU6" s="206"/>
      <c r="JV6" s="206">
        <f>COLUMN()</f>
        <v>282</v>
      </c>
      <c r="JW6" s="206"/>
      <c r="JX6" s="206">
        <f>COLUMN()</f>
        <v>284</v>
      </c>
      <c r="JZ6" s="206"/>
      <c r="KB6" s="206"/>
      <c r="KC6" s="206"/>
      <c r="KD6" s="206"/>
      <c r="LX6" s="82">
        <f>COLUMN()</f>
        <v>336</v>
      </c>
      <c r="LY6" s="82">
        <f>COLUMN()</f>
        <v>337</v>
      </c>
      <c r="ME6" s="82">
        <f>COLUMN()</f>
        <v>343</v>
      </c>
      <c r="MF6" s="206"/>
      <c r="MG6" s="206"/>
      <c r="MH6" s="206">
        <f>COLUMN()</f>
        <v>346</v>
      </c>
      <c r="OO6" s="206">
        <f>COLUMN()</f>
        <v>405</v>
      </c>
      <c r="OP6" s="206"/>
      <c r="OQ6" s="206"/>
      <c r="OR6" s="206"/>
      <c r="OS6" s="206"/>
      <c r="OT6" s="206"/>
      <c r="PA6" s="206"/>
      <c r="PB6" s="206"/>
      <c r="PC6" s="206"/>
      <c r="PD6" s="206"/>
      <c r="PE6" s="206"/>
      <c r="PF6" s="206"/>
      <c r="PG6" s="206"/>
      <c r="PH6" s="206"/>
      <c r="PI6" s="206"/>
      <c r="PJ6" s="206"/>
      <c r="PK6" s="206"/>
      <c r="PL6" s="206"/>
      <c r="PM6" s="206"/>
      <c r="PN6" s="206">
        <f>COLUMN()</f>
        <v>430</v>
      </c>
      <c r="PO6" s="206">
        <f>COLUMN()</f>
        <v>431</v>
      </c>
      <c r="PP6" s="206">
        <f>COLUMN()</f>
        <v>432</v>
      </c>
      <c r="PQ6" s="206"/>
      <c r="PR6" s="206"/>
      <c r="PS6" s="206">
        <f>COLUMN()</f>
        <v>435</v>
      </c>
      <c r="PT6" s="206"/>
      <c r="PU6" s="206"/>
      <c r="PV6" s="206">
        <f>COLUMN()</f>
        <v>438</v>
      </c>
      <c r="PW6" s="206"/>
      <c r="PX6" s="206"/>
      <c r="PY6" s="206">
        <f>COLUMN()</f>
        <v>441</v>
      </c>
      <c r="PZ6" s="206"/>
      <c r="QA6" s="206"/>
      <c r="QB6" s="206"/>
      <c r="QC6" s="206"/>
      <c r="QD6" s="206"/>
      <c r="QE6" s="206"/>
      <c r="QF6" s="206"/>
      <c r="QG6" s="206">
        <f>COLUMN()</f>
        <v>449</v>
      </c>
      <c r="QH6" s="206">
        <f>COLUMN()</f>
        <v>450</v>
      </c>
      <c r="QI6" s="206">
        <f>COLUMN()</f>
        <v>451</v>
      </c>
      <c r="QJ6" s="206"/>
      <c r="QK6" s="206"/>
      <c r="QL6" s="206">
        <f>COLUMN()</f>
        <v>454</v>
      </c>
      <c r="QM6" s="206"/>
      <c r="QN6" s="206"/>
      <c r="QO6" s="206">
        <f>COLUMN()</f>
        <v>457</v>
      </c>
      <c r="QP6" s="206"/>
      <c r="QQ6" s="206"/>
      <c r="QR6" s="206">
        <f>COLUMN()</f>
        <v>460</v>
      </c>
      <c r="QS6" s="206"/>
      <c r="QT6" s="206">
        <f>COLUMN()</f>
        <v>462</v>
      </c>
      <c r="QU6" s="206">
        <f>COLUMN()</f>
        <v>463</v>
      </c>
      <c r="QV6" s="206">
        <f>COLUMN()</f>
        <v>464</v>
      </c>
      <c r="QW6" s="206"/>
      <c r="QX6" s="206"/>
      <c r="QY6" s="206">
        <f>COLUMN()</f>
        <v>467</v>
      </c>
      <c r="QZ6" s="206"/>
      <c r="RA6" s="206"/>
      <c r="RB6" s="206">
        <f>COLUMN()</f>
        <v>470</v>
      </c>
      <c r="RC6" s="206"/>
      <c r="RD6" s="206"/>
      <c r="RE6" s="206">
        <f>COLUMN()</f>
        <v>473</v>
      </c>
      <c r="SD6" s="233">
        <f>COLUMN()</f>
        <v>498</v>
      </c>
      <c r="SE6" s="233">
        <f>COLUMN()</f>
        <v>499</v>
      </c>
      <c r="SF6" s="233">
        <f>COLUMN()</f>
        <v>500</v>
      </c>
      <c r="SG6" s="233">
        <f>COLUMN()</f>
        <v>501</v>
      </c>
    </row>
    <row r="7" spans="1:593" s="82" customFormat="1" ht="30" customHeight="1" x14ac:dyDescent="0.3">
      <c r="A7" s="81"/>
      <c r="B7" s="22"/>
      <c r="C7" s="22"/>
      <c r="D7" s="22"/>
      <c r="E7" s="22"/>
      <c r="F7" s="22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207"/>
      <c r="CW7" s="207"/>
      <c r="CX7" s="249"/>
      <c r="CY7" s="249"/>
      <c r="CZ7" s="249"/>
      <c r="DA7" s="249"/>
      <c r="DB7" s="249"/>
      <c r="DC7" s="249"/>
      <c r="DD7" s="81"/>
      <c r="DE7" s="81"/>
      <c r="DF7" s="81"/>
      <c r="DG7" s="207"/>
      <c r="DH7" s="207"/>
      <c r="DI7" s="249"/>
      <c r="DJ7" s="249"/>
      <c r="DK7" s="249"/>
      <c r="DL7" s="249"/>
      <c r="DM7" s="249"/>
      <c r="DN7" s="249"/>
      <c r="DO7" s="81"/>
      <c r="DP7" s="81"/>
      <c r="DQ7" s="81"/>
      <c r="DR7" s="207"/>
      <c r="DS7" s="207"/>
      <c r="DT7" s="249"/>
      <c r="DU7" s="249"/>
      <c r="DV7" s="249"/>
      <c r="DW7" s="249"/>
      <c r="DX7" s="249"/>
      <c r="DY7" s="249"/>
      <c r="DZ7" s="81"/>
      <c r="EA7" s="81"/>
      <c r="EB7" s="81"/>
      <c r="EC7" s="81"/>
      <c r="ED7" s="81"/>
      <c r="EE7" s="81"/>
      <c r="EF7" s="207"/>
      <c r="EG7" s="207"/>
      <c r="EH7" s="249"/>
      <c r="EI7" s="249"/>
      <c r="EJ7" s="249"/>
      <c r="EK7" s="249"/>
      <c r="EL7" s="249"/>
      <c r="EM7" s="249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207"/>
      <c r="GV7" s="207"/>
      <c r="GW7" s="207"/>
      <c r="GX7" s="207"/>
      <c r="GY7" s="207"/>
      <c r="GZ7" s="207"/>
      <c r="HA7" s="81"/>
      <c r="HB7" s="81"/>
      <c r="HC7" s="81"/>
      <c r="HD7" s="81"/>
      <c r="HE7" s="81"/>
      <c r="HF7" s="81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1"/>
      <c r="MB7" s="81"/>
      <c r="MC7" s="81"/>
      <c r="MD7" s="81"/>
      <c r="ME7" s="81"/>
      <c r="MF7" s="207"/>
      <c r="MG7" s="207"/>
      <c r="MH7" s="207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1"/>
      <c r="OD7" s="81"/>
      <c r="OE7" s="81"/>
      <c r="OF7" s="81"/>
      <c r="OG7" s="81"/>
      <c r="OH7" s="81"/>
      <c r="OI7" s="81"/>
      <c r="OJ7" s="81"/>
      <c r="OK7" s="81"/>
      <c r="OL7" s="81"/>
      <c r="OM7" s="81"/>
      <c r="ON7" s="81"/>
      <c r="OO7" s="207"/>
      <c r="OP7" s="207"/>
      <c r="OQ7" s="207"/>
      <c r="OR7" s="207"/>
      <c r="OS7" s="207"/>
      <c r="OT7" s="207"/>
      <c r="OU7" s="81"/>
      <c r="OV7" s="81"/>
      <c r="OW7" s="81"/>
      <c r="OX7" s="81"/>
      <c r="OY7" s="81"/>
      <c r="OZ7" s="81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7"/>
      <c r="QE7" s="207"/>
      <c r="QF7" s="207"/>
      <c r="QG7" s="207"/>
      <c r="QH7" s="207"/>
      <c r="QI7" s="207"/>
      <c r="QJ7" s="207"/>
      <c r="QK7" s="207"/>
      <c r="QL7" s="207"/>
      <c r="QM7" s="207"/>
      <c r="QN7" s="207"/>
      <c r="QO7" s="207"/>
      <c r="QP7" s="207"/>
      <c r="QQ7" s="207"/>
      <c r="QR7" s="207"/>
      <c r="QS7" s="207"/>
      <c r="QT7" s="207"/>
      <c r="QU7" s="207"/>
      <c r="QV7" s="207"/>
      <c r="QW7" s="207"/>
      <c r="QX7" s="207"/>
      <c r="QY7" s="207"/>
      <c r="QZ7" s="207"/>
      <c r="RA7" s="207"/>
      <c r="RB7" s="207"/>
      <c r="RC7" s="207"/>
      <c r="RD7" s="207"/>
      <c r="RE7" s="207"/>
      <c r="RF7" s="81"/>
      <c r="RG7" s="81"/>
      <c r="RH7" s="81"/>
      <c r="RI7" s="81"/>
      <c r="RJ7" s="81"/>
      <c r="RK7" s="81"/>
      <c r="RL7" s="81"/>
      <c r="RM7" s="81"/>
      <c r="RN7" s="81"/>
      <c r="RO7" s="81"/>
      <c r="RP7" s="81"/>
      <c r="RQ7" s="81"/>
      <c r="RR7" s="81"/>
      <c r="RS7" s="81"/>
      <c r="RT7" s="81"/>
      <c r="RU7" s="81"/>
      <c r="RV7" s="81"/>
      <c r="RW7" s="81"/>
      <c r="RX7" s="81"/>
      <c r="RY7" s="81"/>
      <c r="RZ7" s="81"/>
      <c r="SA7" s="81"/>
      <c r="SB7" s="81"/>
      <c r="SC7" s="81"/>
      <c r="SD7" s="81"/>
      <c r="SE7" s="81"/>
      <c r="SF7" s="81"/>
      <c r="SG7" s="81"/>
      <c r="SH7" s="81"/>
      <c r="SI7" s="81"/>
      <c r="SJ7" s="81"/>
      <c r="SK7" s="81"/>
      <c r="SL7" s="81"/>
      <c r="SM7" s="81"/>
      <c r="SN7" s="81"/>
      <c r="SO7" s="81"/>
      <c r="SP7" s="81"/>
      <c r="SQ7" s="81"/>
      <c r="SR7" s="81"/>
      <c r="SS7" s="81"/>
      <c r="ST7" s="81"/>
      <c r="SU7" s="81"/>
      <c r="SV7" s="81"/>
      <c r="SW7" s="81"/>
      <c r="SX7" s="81"/>
      <c r="SY7" s="81"/>
      <c r="SZ7" s="81"/>
      <c r="TA7" s="81"/>
      <c r="TB7" s="81"/>
      <c r="TC7" s="81"/>
      <c r="TD7" s="81"/>
      <c r="TE7" s="81"/>
      <c r="TF7" s="81"/>
      <c r="TG7" s="81"/>
      <c r="TH7" s="81"/>
      <c r="TI7" s="81"/>
      <c r="TJ7" s="81"/>
      <c r="TK7" s="81"/>
      <c r="TL7" s="81"/>
      <c r="TM7" s="81"/>
      <c r="TN7" s="81"/>
      <c r="TO7" s="81"/>
      <c r="TP7" s="81"/>
      <c r="TQ7" s="81"/>
      <c r="TR7" s="81"/>
      <c r="TS7" s="81"/>
      <c r="TT7" s="81"/>
      <c r="TU7" s="81"/>
      <c r="TV7" s="81"/>
      <c r="TW7" s="81"/>
      <c r="TX7" s="81"/>
      <c r="TY7" s="81"/>
      <c r="TZ7" s="81"/>
      <c r="UA7" s="81"/>
      <c r="UB7" s="81"/>
      <c r="UC7" s="81"/>
      <c r="UD7" s="81"/>
      <c r="UE7" s="81"/>
      <c r="UF7" s="81"/>
      <c r="UG7" s="81"/>
      <c r="UH7" s="81"/>
      <c r="UI7" s="81"/>
      <c r="UJ7" s="81"/>
      <c r="UK7" s="81"/>
      <c r="UL7" s="81"/>
      <c r="UM7" s="81"/>
      <c r="UN7" s="81"/>
      <c r="UO7" s="81"/>
      <c r="UP7" s="81"/>
      <c r="UQ7" s="81"/>
      <c r="UR7" s="81"/>
      <c r="US7" s="81"/>
      <c r="UT7" s="81"/>
      <c r="UU7" s="81"/>
      <c r="UV7" s="81"/>
      <c r="UW7" s="81"/>
      <c r="UX7" s="81"/>
      <c r="UY7" s="81"/>
      <c r="UZ7" s="81"/>
      <c r="VA7" s="81"/>
      <c r="VB7" s="81"/>
      <c r="VC7" s="81"/>
      <c r="VD7" s="81"/>
      <c r="VE7" s="81"/>
      <c r="VF7" s="81"/>
      <c r="VG7" s="81"/>
      <c r="VH7" s="81"/>
      <c r="VI7" s="81"/>
      <c r="VJ7" s="81"/>
      <c r="VK7" s="81"/>
      <c r="VL7" s="81"/>
      <c r="VM7" s="81"/>
      <c r="VN7" s="81"/>
      <c r="VO7" s="81"/>
      <c r="VP7" s="81"/>
      <c r="VQ7" s="81"/>
      <c r="VR7" s="81"/>
      <c r="VS7" s="81"/>
      <c r="VT7" s="81"/>
      <c r="VU7" s="81"/>
    </row>
    <row r="8" spans="1:593" ht="18.600000000000001" thickBot="1" x14ac:dyDescent="0.4">
      <c r="A8" s="22"/>
      <c r="B8" s="24" t="s">
        <v>104</v>
      </c>
      <c r="C8" s="25"/>
      <c r="D8" s="26"/>
      <c r="E8" s="26"/>
      <c r="F8" s="26"/>
      <c r="FC8" s="54"/>
      <c r="KG8" s="54"/>
      <c r="RX8" s="54"/>
      <c r="SV8" s="209"/>
      <c r="TF8" s="54"/>
      <c r="TH8" s="512" t="s">
        <v>84</v>
      </c>
      <c r="TI8" s="512"/>
      <c r="TJ8" s="512"/>
      <c r="TK8" s="512"/>
      <c r="TL8" s="512"/>
      <c r="TM8" s="512"/>
      <c r="TN8" s="512"/>
      <c r="TO8" s="512"/>
      <c r="TP8" s="512"/>
      <c r="TQ8" s="512"/>
      <c r="TR8" s="512"/>
      <c r="TS8" s="512"/>
      <c r="TT8" s="512"/>
      <c r="TU8" s="512"/>
      <c r="TV8" s="512"/>
      <c r="TW8" s="512"/>
      <c r="TX8" s="512"/>
      <c r="TY8" s="512"/>
      <c r="TZ8" s="512"/>
      <c r="UA8" s="512"/>
      <c r="UB8" s="512"/>
      <c r="UC8" s="512"/>
      <c r="UD8" s="512"/>
      <c r="UE8" s="512"/>
      <c r="UF8" s="512"/>
      <c r="UG8" s="512"/>
      <c r="UH8" s="512"/>
      <c r="UI8" s="512"/>
      <c r="UJ8" s="512"/>
      <c r="UK8" s="512"/>
      <c r="UL8" s="512"/>
      <c r="UM8" s="512"/>
      <c r="UN8" s="512"/>
      <c r="UO8" s="512"/>
      <c r="UP8" s="512"/>
      <c r="UQ8" s="512"/>
      <c r="UR8" s="512"/>
      <c r="US8" s="512"/>
      <c r="UT8" s="512"/>
      <c r="UU8" s="512"/>
      <c r="UV8" s="512"/>
      <c r="UW8" s="512"/>
      <c r="UX8" s="512"/>
      <c r="UY8" s="512"/>
      <c r="UZ8" s="512"/>
      <c r="VA8" s="512"/>
      <c r="VB8" s="512"/>
      <c r="VC8" s="512"/>
      <c r="VD8" s="512"/>
      <c r="VE8" s="512"/>
      <c r="VF8" s="512"/>
      <c r="VG8" s="512"/>
      <c r="VH8" s="512"/>
      <c r="VI8" s="512"/>
      <c r="VJ8" s="512"/>
      <c r="VK8" s="512"/>
      <c r="VL8" s="512"/>
      <c r="VM8" s="512"/>
      <c r="VN8" s="512"/>
      <c r="VO8" s="512"/>
      <c r="VP8" s="512"/>
      <c r="VQ8" s="512"/>
      <c r="VR8" s="512"/>
      <c r="VS8" s="512"/>
      <c r="VT8" s="512"/>
      <c r="VU8" s="22"/>
    </row>
    <row r="9" spans="1:593" ht="15" customHeight="1" thickBot="1" x14ac:dyDescent="0.35">
      <c r="A9" s="22"/>
      <c r="B9" s="44"/>
      <c r="C9" s="47" t="s">
        <v>89</v>
      </c>
      <c r="E9" s="47" t="s">
        <v>90</v>
      </c>
      <c r="G9" s="485" t="str">
        <f>INDEX(StdBS[Titelanzeige],G$1)</f>
        <v>BS.1   Laufen, Springen, Werfen</v>
      </c>
      <c r="H9" s="486"/>
      <c r="I9" s="486"/>
      <c r="J9" s="486"/>
      <c r="K9" s="486"/>
      <c r="L9" s="486"/>
      <c r="M9" s="486"/>
      <c r="N9" s="486"/>
      <c r="O9" s="486"/>
      <c r="P9" s="486"/>
      <c r="Q9" s="486"/>
      <c r="R9" s="486"/>
      <c r="S9" s="486"/>
      <c r="T9" s="486"/>
      <c r="U9" s="486"/>
      <c r="V9" s="486"/>
      <c r="W9" s="486"/>
      <c r="X9" s="486"/>
      <c r="Y9" s="486"/>
      <c r="Z9" s="486"/>
      <c r="AA9" s="486"/>
      <c r="AB9" s="486"/>
      <c r="AC9" s="486"/>
      <c r="AD9" s="486"/>
      <c r="AE9" s="486"/>
      <c r="AF9" s="486"/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DX9" s="486"/>
      <c r="DY9" s="486"/>
      <c r="DZ9" s="486"/>
      <c r="EA9" s="486"/>
      <c r="EB9" s="486"/>
      <c r="EC9" s="486"/>
      <c r="ED9" s="486"/>
      <c r="EE9" s="486"/>
      <c r="EF9" s="486"/>
      <c r="EG9" s="486"/>
      <c r="EH9" s="486"/>
      <c r="EI9" s="486"/>
      <c r="EJ9" s="486"/>
      <c r="EK9" s="486"/>
      <c r="EL9" s="486"/>
      <c r="EM9" s="486"/>
      <c r="EN9" s="486"/>
      <c r="EO9" s="486"/>
      <c r="EP9" s="486"/>
      <c r="EQ9" s="486"/>
      <c r="ER9" s="486"/>
      <c r="ES9" s="486"/>
      <c r="ET9" s="486"/>
      <c r="EU9" s="486"/>
      <c r="EV9" s="486"/>
      <c r="EW9" s="486"/>
      <c r="EX9" s="486"/>
      <c r="EY9" s="486"/>
      <c r="EZ9" s="486"/>
      <c r="FA9" s="486"/>
      <c r="FB9" s="486"/>
      <c r="FC9" s="487"/>
      <c r="FD9" s="48"/>
      <c r="FE9" s="485" t="str">
        <f>INDEX(StdBS[Titelanzeige],FE$1)</f>
        <v>BS.2   Bewegen an Geräten</v>
      </c>
      <c r="FF9" s="486"/>
      <c r="FG9" s="486"/>
      <c r="FH9" s="486"/>
      <c r="FI9" s="486"/>
      <c r="FJ9" s="486"/>
      <c r="FK9" s="486"/>
      <c r="FL9" s="486"/>
      <c r="FM9" s="486"/>
      <c r="FN9" s="486"/>
      <c r="FO9" s="486"/>
      <c r="FP9" s="486"/>
      <c r="FQ9" s="486"/>
      <c r="FR9" s="486"/>
      <c r="FS9" s="486"/>
      <c r="FT9" s="486"/>
      <c r="FU9" s="486"/>
      <c r="FV9" s="486"/>
      <c r="FW9" s="486"/>
      <c r="FX9" s="486"/>
      <c r="FY9" s="486"/>
      <c r="FZ9" s="486"/>
      <c r="GA9" s="486"/>
      <c r="GB9" s="486"/>
      <c r="GC9" s="486"/>
      <c r="GD9" s="486"/>
      <c r="GE9" s="486"/>
      <c r="GF9" s="486"/>
      <c r="GG9" s="486"/>
      <c r="GH9" s="486"/>
      <c r="GI9" s="486"/>
      <c r="GJ9" s="486"/>
      <c r="GK9" s="486"/>
      <c r="GL9" s="486"/>
      <c r="GM9" s="486"/>
      <c r="GN9" s="486"/>
      <c r="GO9" s="486"/>
      <c r="GP9" s="486"/>
      <c r="GQ9" s="486"/>
      <c r="GR9" s="486"/>
      <c r="GS9" s="486"/>
      <c r="GT9" s="486"/>
      <c r="GU9" s="486"/>
      <c r="GV9" s="486"/>
      <c r="GW9" s="486"/>
      <c r="GX9" s="486"/>
      <c r="GY9" s="486"/>
      <c r="GZ9" s="486"/>
      <c r="HA9" s="486"/>
      <c r="HB9" s="486"/>
      <c r="HC9" s="486"/>
      <c r="HD9" s="486"/>
      <c r="HE9" s="486"/>
      <c r="HF9" s="486"/>
      <c r="HG9" s="486"/>
      <c r="HH9" s="486"/>
      <c r="HI9" s="486"/>
      <c r="HJ9" s="486"/>
      <c r="HK9" s="486"/>
      <c r="HL9" s="486"/>
      <c r="HM9" s="486"/>
      <c r="HN9" s="486"/>
      <c r="HO9" s="486"/>
      <c r="HP9" s="486"/>
      <c r="HQ9" s="486"/>
      <c r="HR9" s="486"/>
      <c r="HS9" s="486"/>
      <c r="HT9" s="486"/>
      <c r="HU9" s="486"/>
      <c r="HV9" s="486"/>
      <c r="HW9" s="486"/>
      <c r="HX9" s="486"/>
      <c r="HY9" s="486"/>
      <c r="HZ9" s="486"/>
      <c r="IA9" s="486"/>
      <c r="IB9" s="486"/>
      <c r="IC9" s="486"/>
      <c r="ID9" s="486"/>
      <c r="IE9" s="486"/>
      <c r="IF9" s="486"/>
      <c r="IG9" s="486"/>
      <c r="IH9" s="486"/>
      <c r="II9" s="486"/>
      <c r="IJ9" s="486"/>
      <c r="IK9" s="486"/>
      <c r="IL9" s="486"/>
      <c r="IM9" s="486"/>
      <c r="IN9" s="486"/>
      <c r="IO9" s="486"/>
      <c r="IP9" s="486"/>
      <c r="IQ9" s="486"/>
      <c r="IR9" s="486"/>
      <c r="IS9" s="486"/>
      <c r="IT9" s="486"/>
      <c r="IU9" s="486"/>
      <c r="IV9" s="486"/>
      <c r="IW9" s="486"/>
      <c r="IX9" s="486"/>
      <c r="IY9" s="486"/>
      <c r="IZ9" s="486"/>
      <c r="JA9" s="486"/>
      <c r="JB9" s="486"/>
      <c r="JC9" s="486"/>
      <c r="JD9" s="486"/>
      <c r="JE9" s="486"/>
      <c r="JF9" s="486"/>
      <c r="JG9" s="486"/>
      <c r="JH9" s="486"/>
      <c r="JI9" s="486"/>
      <c r="JJ9" s="486"/>
      <c r="JK9" s="486"/>
      <c r="JL9" s="486"/>
      <c r="JM9" s="486"/>
      <c r="JN9" s="486"/>
      <c r="JO9" s="486"/>
      <c r="JP9" s="486"/>
      <c r="JQ9" s="486"/>
      <c r="JR9" s="486"/>
      <c r="JS9" s="486"/>
      <c r="JT9" s="486"/>
      <c r="JU9" s="486"/>
      <c r="JV9" s="486"/>
      <c r="JW9" s="486"/>
      <c r="JX9" s="486"/>
      <c r="JY9" s="486"/>
      <c r="JZ9" s="486"/>
      <c r="KA9" s="486"/>
      <c r="KB9" s="486"/>
      <c r="KC9" s="486"/>
      <c r="KD9" s="486"/>
      <c r="KE9" s="486"/>
      <c r="KF9" s="486"/>
      <c r="KG9" s="487"/>
      <c r="KH9" s="48"/>
      <c r="KI9" s="485" t="str">
        <f>INDEX(StdBS[Titelanzeige],KI$1)</f>
        <v>BS.3   Darstellen und Tanzen</v>
      </c>
      <c r="KJ9" s="486"/>
      <c r="KK9" s="486"/>
      <c r="KL9" s="486"/>
      <c r="KM9" s="486"/>
      <c r="KN9" s="486"/>
      <c r="KO9" s="486"/>
      <c r="KP9" s="486"/>
      <c r="KQ9" s="486"/>
      <c r="KR9" s="486"/>
      <c r="KS9" s="486"/>
      <c r="KT9" s="486"/>
      <c r="KU9" s="486"/>
      <c r="KV9" s="486"/>
      <c r="KW9" s="486"/>
      <c r="KX9" s="486"/>
      <c r="KY9" s="486"/>
      <c r="KZ9" s="486"/>
      <c r="LA9" s="486"/>
      <c r="LB9" s="486"/>
      <c r="LC9" s="486"/>
      <c r="LD9" s="486"/>
      <c r="LE9" s="486"/>
      <c r="LF9" s="486"/>
      <c r="LG9" s="486"/>
      <c r="LH9" s="486"/>
      <c r="LI9" s="486"/>
      <c r="LJ9" s="486"/>
      <c r="LK9" s="486"/>
      <c r="LL9" s="486"/>
      <c r="LM9" s="486"/>
      <c r="LN9" s="486"/>
      <c r="LO9" s="486"/>
      <c r="LP9" s="486"/>
      <c r="LQ9" s="486"/>
      <c r="LR9" s="486"/>
      <c r="LS9" s="486"/>
      <c r="LT9" s="486"/>
      <c r="LU9" s="486"/>
      <c r="LV9" s="486"/>
      <c r="LW9" s="486"/>
      <c r="LX9" s="486"/>
      <c r="LY9" s="486"/>
      <c r="LZ9" s="486"/>
      <c r="MA9" s="486"/>
      <c r="MB9" s="486"/>
      <c r="MC9" s="486"/>
      <c r="MD9" s="486"/>
      <c r="ME9" s="486"/>
      <c r="MF9" s="486"/>
      <c r="MG9" s="486"/>
      <c r="MH9" s="486"/>
      <c r="MI9" s="486"/>
      <c r="MJ9" s="487"/>
      <c r="MK9" s="48"/>
      <c r="ML9" s="485" t="str">
        <f>INDEX(StdBS[Titelanzeige],ML$1)</f>
        <v>BS.4   Spielen</v>
      </c>
      <c r="MM9" s="486"/>
      <c r="MN9" s="486"/>
      <c r="MO9" s="486"/>
      <c r="MP9" s="486"/>
      <c r="MQ9" s="486"/>
      <c r="MR9" s="486"/>
      <c r="MS9" s="486"/>
      <c r="MT9" s="486"/>
      <c r="MU9" s="486"/>
      <c r="MV9" s="486"/>
      <c r="MW9" s="486"/>
      <c r="MX9" s="486"/>
      <c r="MY9" s="486"/>
      <c r="MZ9" s="486"/>
      <c r="NA9" s="486"/>
      <c r="NB9" s="486"/>
      <c r="NC9" s="486"/>
      <c r="ND9" s="486"/>
      <c r="NE9" s="486"/>
      <c r="NF9" s="486"/>
      <c r="NG9" s="486"/>
      <c r="NH9" s="486"/>
      <c r="NI9" s="486"/>
      <c r="NJ9" s="486"/>
      <c r="NK9" s="486"/>
      <c r="NL9" s="486"/>
      <c r="NM9" s="486"/>
      <c r="NN9" s="486"/>
      <c r="NO9" s="486"/>
      <c r="NP9" s="486"/>
      <c r="NQ9" s="486"/>
      <c r="NR9" s="486"/>
      <c r="NS9" s="486"/>
      <c r="NT9" s="486"/>
      <c r="NU9" s="486"/>
      <c r="NV9" s="486"/>
      <c r="NW9" s="486"/>
      <c r="NX9" s="486"/>
      <c r="NY9" s="486"/>
      <c r="NZ9" s="486"/>
      <c r="OA9" s="486"/>
      <c r="OB9" s="486"/>
      <c r="OC9" s="486"/>
      <c r="OD9" s="486"/>
      <c r="OE9" s="486"/>
      <c r="OF9" s="486"/>
      <c r="OG9" s="486"/>
      <c r="OH9" s="486"/>
      <c r="OI9" s="486"/>
      <c r="OJ9" s="486"/>
      <c r="OK9" s="486"/>
      <c r="OL9" s="486"/>
      <c r="OM9" s="486"/>
      <c r="ON9" s="486"/>
      <c r="OO9" s="486"/>
      <c r="OP9" s="486"/>
      <c r="OQ9" s="486"/>
      <c r="OR9" s="486"/>
      <c r="OS9" s="486"/>
      <c r="OT9" s="486"/>
      <c r="OU9" s="486"/>
      <c r="OV9" s="486"/>
      <c r="OW9" s="486"/>
      <c r="OX9" s="486"/>
      <c r="OY9" s="486"/>
      <c r="OZ9" s="486"/>
      <c r="PA9" s="486"/>
      <c r="PB9" s="486"/>
      <c r="PC9" s="486"/>
      <c r="PD9" s="486"/>
      <c r="PE9" s="486"/>
      <c r="PF9" s="486"/>
      <c r="PG9" s="486"/>
      <c r="PH9" s="486"/>
      <c r="PI9" s="486"/>
      <c r="PJ9" s="486"/>
      <c r="PK9" s="486"/>
      <c r="PL9" s="486"/>
      <c r="PM9" s="486"/>
      <c r="PN9" s="486"/>
      <c r="PO9" s="486"/>
      <c r="PP9" s="486"/>
      <c r="PQ9" s="486"/>
      <c r="PR9" s="486"/>
      <c r="PS9" s="486"/>
      <c r="PT9" s="486"/>
      <c r="PU9" s="486"/>
      <c r="PV9" s="486"/>
      <c r="PW9" s="486"/>
      <c r="PX9" s="486"/>
      <c r="PY9" s="486"/>
      <c r="PZ9" s="486"/>
      <c r="QA9" s="486"/>
      <c r="QB9" s="486"/>
      <c r="QC9" s="486"/>
      <c r="QD9" s="486"/>
      <c r="QE9" s="486"/>
      <c r="QF9" s="486"/>
      <c r="QG9" s="486"/>
      <c r="QH9" s="486"/>
      <c r="QI9" s="486"/>
      <c r="QJ9" s="486"/>
      <c r="QK9" s="486"/>
      <c r="QL9" s="486"/>
      <c r="QM9" s="486"/>
      <c r="QN9" s="486"/>
      <c r="QO9" s="486"/>
      <c r="QP9" s="486"/>
      <c r="QQ9" s="486"/>
      <c r="QR9" s="486"/>
      <c r="QS9" s="486"/>
      <c r="QT9" s="486"/>
      <c r="QU9" s="486"/>
      <c r="QV9" s="486"/>
      <c r="QW9" s="486"/>
      <c r="QX9" s="486"/>
      <c r="QY9" s="486"/>
      <c r="QZ9" s="486"/>
      <c r="RA9" s="486"/>
      <c r="RB9" s="486"/>
      <c r="RC9" s="486"/>
      <c r="RD9" s="486"/>
      <c r="RE9" s="486"/>
      <c r="RF9" s="486"/>
      <c r="RG9" s="486"/>
      <c r="RH9" s="486"/>
      <c r="RI9" s="486"/>
      <c r="RJ9" s="486"/>
      <c r="RK9" s="486"/>
      <c r="RL9" s="486"/>
      <c r="RM9" s="486"/>
      <c r="RN9" s="486"/>
      <c r="RO9" s="486"/>
      <c r="RP9" s="486"/>
      <c r="RQ9" s="486"/>
      <c r="RR9" s="486"/>
      <c r="RS9" s="486"/>
      <c r="RT9" s="486"/>
      <c r="RU9" s="486"/>
      <c r="RV9" s="486"/>
      <c r="RW9" s="486"/>
      <c r="RX9" s="487"/>
      <c r="RY9" s="48"/>
      <c r="RZ9" s="482" t="str">
        <f>INDEX(StdBS[StdNummer],$RZ$1)</f>
        <v>BS.1</v>
      </c>
      <c r="SA9" s="405" t="str">
        <f>INDEX(StdBS[StdNummer],$SA$1)</f>
        <v>BS.2</v>
      </c>
      <c r="SB9" s="405" t="str">
        <f>INDEX(StdBS[StdNummer],$SB$1)</f>
        <v>BS.3</v>
      </c>
      <c r="SC9" s="405" t="str">
        <f>INDEX(StdBS[StdNummer],$SC$1)</f>
        <v>BS.4</v>
      </c>
      <c r="SD9" s="410" t="str">
        <f>$CV$10</f>
        <v>Diplomsteuerung</v>
      </c>
      <c r="SE9" s="411"/>
      <c r="SF9" s="411"/>
      <c r="SG9" s="412"/>
      <c r="SH9" s="395" t="s">
        <v>197</v>
      </c>
      <c r="SI9" s="395" t="s">
        <v>188</v>
      </c>
      <c r="SJ9" s="395" t="s">
        <v>198</v>
      </c>
      <c r="SK9" s="428" t="s">
        <v>183</v>
      </c>
      <c r="SL9" s="429"/>
      <c r="SM9" s="429"/>
      <c r="SN9" s="430"/>
      <c r="SO9" s="428" t="s">
        <v>196</v>
      </c>
      <c r="SP9" s="429"/>
      <c r="SQ9" s="429"/>
      <c r="SR9" s="429"/>
      <c r="SS9" s="429"/>
      <c r="ST9" s="430"/>
      <c r="SU9" s="389"/>
      <c r="SV9" s="477" t="s">
        <v>199</v>
      </c>
      <c r="SW9" s="478"/>
      <c r="SX9" s="478"/>
      <c r="SY9" s="478"/>
      <c r="SZ9" s="478"/>
      <c r="TA9" s="478"/>
      <c r="TB9" s="478"/>
      <c r="TC9" s="478"/>
      <c r="TD9" s="478"/>
      <c r="TE9" s="478"/>
      <c r="TF9" s="479"/>
      <c r="TG9" s="215"/>
      <c r="TH9" s="514" t="str">
        <f>INDEX(StdBS[Titelanzeige],TH$1)</f>
        <v>BS.5   Gleiten, Rollen, Fahren</v>
      </c>
      <c r="TI9" s="515"/>
      <c r="TJ9" s="515"/>
      <c r="TK9" s="516"/>
      <c r="TL9" s="368"/>
      <c r="TM9" s="527" t="str">
        <f>INDEX(StdBS[Titelanzeige],TM$1)</f>
        <v>BS.6   Bewegen im Wasser</v>
      </c>
      <c r="TN9" s="528"/>
      <c r="TO9" s="528"/>
      <c r="TP9" s="528"/>
      <c r="TQ9" s="528"/>
      <c r="TR9" s="528"/>
      <c r="TS9" s="528"/>
      <c r="TT9" s="529"/>
      <c r="TU9" s="374"/>
      <c r="TV9" s="485" t="str">
        <f>INDEX(StdDisziplinen[Fit0],TV$1)&amp;"   "&amp;INDEX(StdFit[StdFit2],$TV$1)</f>
        <v>FIT   Allgemeine Fitness</v>
      </c>
      <c r="TW9" s="486"/>
      <c r="TX9" s="486"/>
      <c r="TY9" s="486"/>
      <c r="TZ9" s="486"/>
      <c r="UA9" s="486"/>
      <c r="UB9" s="486"/>
      <c r="UC9" s="486"/>
      <c r="UD9" s="486"/>
      <c r="UE9" s="486"/>
      <c r="UF9" s="486"/>
      <c r="UG9" s="486"/>
      <c r="UH9" s="486"/>
      <c r="UI9" s="486"/>
      <c r="UJ9" s="486"/>
      <c r="UK9" s="486"/>
      <c r="UL9" s="486"/>
      <c r="UM9" s="486"/>
      <c r="UN9" s="486"/>
      <c r="UO9" s="486"/>
      <c r="UP9" s="486"/>
      <c r="UQ9" s="486"/>
      <c r="UR9" s="486"/>
      <c r="US9" s="486"/>
      <c r="UT9" s="486"/>
      <c r="UU9" s="486"/>
      <c r="UV9" s="486"/>
      <c r="UW9" s="486"/>
      <c r="UX9" s="486"/>
      <c r="UY9" s="486"/>
      <c r="UZ9" s="486"/>
      <c r="VA9" s="486"/>
      <c r="VB9" s="486"/>
      <c r="VC9" s="486"/>
      <c r="VD9" s="486"/>
      <c r="VE9" s="486"/>
      <c r="VF9" s="486"/>
      <c r="VG9" s="486"/>
      <c r="VH9" s="486"/>
      <c r="VI9" s="486"/>
      <c r="VJ9" s="486"/>
      <c r="VK9" s="486"/>
      <c r="VL9" s="486"/>
      <c r="VM9" s="486"/>
      <c r="VN9" s="486"/>
      <c r="VO9" s="486"/>
      <c r="VP9" s="486"/>
      <c r="VQ9" s="486"/>
      <c r="VR9" s="486"/>
      <c r="VS9" s="486"/>
      <c r="VT9" s="526"/>
      <c r="VU9" s="22"/>
    </row>
    <row r="10" spans="1:593" ht="14.4" customHeight="1" x14ac:dyDescent="0.3">
      <c r="A10" s="22"/>
      <c r="B10" s="88" t="s">
        <v>26</v>
      </c>
      <c r="C10" s="589"/>
      <c r="D10" s="76"/>
      <c r="E10" s="589"/>
      <c r="F10" s="23"/>
      <c r="G10" s="436" t="str">
        <f>INDEX(StdGruppe[StdGruppe],G$2)</f>
        <v>Sprintdisziplinen</v>
      </c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8"/>
      <c r="Z10" s="160"/>
      <c r="AA10" s="436" t="str">
        <f>INDEX(StdGruppe[StdGruppe],AA$2)</f>
        <v>Ausdauerdisziplinen</v>
      </c>
      <c r="AB10" s="437"/>
      <c r="AC10" s="437"/>
      <c r="AD10" s="437"/>
      <c r="AE10" s="437"/>
      <c r="AF10" s="437"/>
      <c r="AG10" s="437"/>
      <c r="AH10" s="437"/>
      <c r="AI10" s="437"/>
      <c r="AJ10" s="437"/>
      <c r="AK10" s="437"/>
      <c r="AL10" s="437"/>
      <c r="AM10" s="437"/>
      <c r="AN10" s="437"/>
      <c r="AO10" s="437"/>
      <c r="AP10" s="437"/>
      <c r="AQ10" s="437"/>
      <c r="AR10" s="437"/>
      <c r="AS10" s="438"/>
      <c r="AT10" s="160"/>
      <c r="AU10" s="436" t="str">
        <f>INDEX(StdGruppe[StdGruppe],AU$2)</f>
        <v>Sprungdisziplinen</v>
      </c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8"/>
      <c r="BN10" s="160"/>
      <c r="BO10" s="436" t="str">
        <f>INDEX(StdGruppe[StdGruppe],BO$2)</f>
        <v>Wurfdisziplinen</v>
      </c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8"/>
      <c r="CR10" s="160"/>
      <c r="CS10" s="436" t="str">
        <f>INDEX(StdGruppe[StdGruppe],CS$2)</f>
        <v>Sprintdisziplinen</v>
      </c>
      <c r="CT10" s="437"/>
      <c r="CU10" s="438"/>
      <c r="CV10" s="542" t="s">
        <v>304</v>
      </c>
      <c r="CW10" s="543"/>
      <c r="CX10" s="543"/>
      <c r="CY10" s="543"/>
      <c r="CZ10" s="543"/>
      <c r="DA10" s="543"/>
      <c r="DB10" s="543"/>
      <c r="DC10" s="544"/>
      <c r="DD10" s="436" t="str">
        <f>INDEX(StdGruppe[StdGruppe],DD$2)</f>
        <v>Ausdauerdisziplinen</v>
      </c>
      <c r="DE10" s="437"/>
      <c r="DF10" s="438"/>
      <c r="DG10" s="542" t="str">
        <f>$CV$10</f>
        <v>Diplomsteuerung</v>
      </c>
      <c r="DH10" s="543"/>
      <c r="DI10" s="543"/>
      <c r="DJ10" s="543"/>
      <c r="DK10" s="543"/>
      <c r="DL10" s="543"/>
      <c r="DM10" s="543"/>
      <c r="DN10" s="543"/>
      <c r="DO10" s="436" t="str">
        <f>INDEX(StdGruppe[StdGruppe],DO$2)</f>
        <v>Sprungdisziplinen</v>
      </c>
      <c r="DP10" s="437"/>
      <c r="DQ10" s="438"/>
      <c r="DR10" s="542" t="str">
        <f>$CV$10</f>
        <v>Diplomsteuerung</v>
      </c>
      <c r="DS10" s="543"/>
      <c r="DT10" s="543"/>
      <c r="DU10" s="543"/>
      <c r="DV10" s="543"/>
      <c r="DW10" s="543"/>
      <c r="DX10" s="543"/>
      <c r="DY10" s="543"/>
      <c r="DZ10" s="436" t="str">
        <f>INDEX(StdGruppe[StdGruppe],DZ$2)</f>
        <v>Wurfdisziplinen</v>
      </c>
      <c r="EA10" s="437"/>
      <c r="EB10" s="437"/>
      <c r="EC10" s="438"/>
      <c r="ED10" s="509" t="str">
        <f>DZ10</f>
        <v>Wurfdisziplinen</v>
      </c>
      <c r="EE10" s="510"/>
      <c r="EF10" s="542" t="str">
        <f>$CV$10</f>
        <v>Diplomsteuerung</v>
      </c>
      <c r="EG10" s="543"/>
      <c r="EH10" s="543"/>
      <c r="EI10" s="543"/>
      <c r="EJ10" s="543"/>
      <c r="EK10" s="543"/>
      <c r="EL10" s="543"/>
      <c r="EM10" s="543"/>
      <c r="EN10" s="395" t="s">
        <v>192</v>
      </c>
      <c r="EO10" s="395" t="s">
        <v>193</v>
      </c>
      <c r="EP10" s="488" t="s">
        <v>183</v>
      </c>
      <c r="EQ10" s="489"/>
      <c r="ER10" s="489"/>
      <c r="ES10" s="490"/>
      <c r="ET10" s="395" t="s">
        <v>194</v>
      </c>
      <c r="EU10" s="421" t="s">
        <v>195</v>
      </c>
      <c r="EV10" s="488" t="s">
        <v>196</v>
      </c>
      <c r="EW10" s="489"/>
      <c r="EX10" s="489"/>
      <c r="EY10" s="489"/>
      <c r="EZ10" s="490"/>
      <c r="FA10" s="426" t="s">
        <v>156</v>
      </c>
      <c r="FB10" s="371"/>
      <c r="FC10" s="231"/>
      <c r="FD10" s="97"/>
      <c r="FE10" s="530" t="str">
        <f>INDEX(StdGruppe[StdGruppe],FE$2)</f>
        <v>Geräteturnen</v>
      </c>
      <c r="FF10" s="531"/>
      <c r="FG10" s="531"/>
      <c r="FH10" s="531"/>
      <c r="FI10" s="531"/>
      <c r="FJ10" s="531"/>
      <c r="FK10" s="531"/>
      <c r="FL10" s="531"/>
      <c r="FM10" s="531"/>
      <c r="FN10" s="531"/>
      <c r="FO10" s="531"/>
      <c r="FP10" s="531"/>
      <c r="FQ10" s="531"/>
      <c r="FR10" s="531"/>
      <c r="FS10" s="531"/>
      <c r="FT10" s="531"/>
      <c r="FU10" s="531"/>
      <c r="FV10" s="531"/>
      <c r="FW10" s="531"/>
      <c r="FX10" s="531"/>
      <c r="FY10" s="531"/>
      <c r="FZ10" s="531"/>
      <c r="GA10" s="531"/>
      <c r="GB10" s="531"/>
      <c r="GC10" s="531"/>
      <c r="GD10" s="531"/>
      <c r="GE10" s="531"/>
      <c r="GF10" s="531"/>
      <c r="GG10" s="531"/>
      <c r="GH10" s="531"/>
      <c r="GI10" s="531"/>
      <c r="GJ10" s="531"/>
      <c r="GK10" s="531"/>
      <c r="GL10" s="531"/>
      <c r="GM10" s="531"/>
      <c r="GN10" s="531"/>
      <c r="GO10" s="531"/>
      <c r="GP10" s="531"/>
      <c r="GQ10" s="531"/>
      <c r="GR10" s="531"/>
      <c r="GS10" s="531"/>
      <c r="GT10" s="531"/>
      <c r="GU10" s="531"/>
      <c r="GV10" s="531"/>
      <c r="GW10" s="531"/>
      <c r="GX10" s="531"/>
      <c r="GY10" s="531"/>
      <c r="GZ10" s="531"/>
      <c r="HA10" s="531"/>
      <c r="HB10" s="531"/>
      <c r="HC10" s="531"/>
      <c r="HD10" s="531"/>
      <c r="HE10" s="531"/>
      <c r="HF10" s="531"/>
      <c r="HG10" s="531"/>
      <c r="HH10" s="531"/>
      <c r="HI10" s="531"/>
      <c r="HJ10" s="531"/>
      <c r="HK10" s="531"/>
      <c r="HL10" s="531"/>
      <c r="HM10" s="531"/>
      <c r="HN10" s="531"/>
      <c r="HO10" s="531"/>
      <c r="HP10" s="531"/>
      <c r="HQ10" s="531"/>
      <c r="HR10" s="531"/>
      <c r="HS10" s="531"/>
      <c r="HT10" s="531"/>
      <c r="HU10" s="531"/>
      <c r="HV10" s="531"/>
      <c r="HW10" s="531"/>
      <c r="HX10" s="531"/>
      <c r="HY10" s="531"/>
      <c r="HZ10" s="531"/>
      <c r="IA10" s="531"/>
      <c r="IB10" s="531"/>
      <c r="IC10" s="531"/>
      <c r="ID10" s="531"/>
      <c r="IE10" s="531"/>
      <c r="IF10" s="531"/>
      <c r="IG10" s="531"/>
      <c r="IH10" s="531"/>
      <c r="II10" s="531"/>
      <c r="IJ10" s="531"/>
      <c r="IK10" s="531"/>
      <c r="IL10" s="531"/>
      <c r="IM10" s="531"/>
      <c r="IN10" s="531"/>
      <c r="IO10" s="531"/>
      <c r="IP10" s="531"/>
      <c r="IQ10" s="531"/>
      <c r="IR10" s="531"/>
      <c r="IS10" s="531"/>
      <c r="IT10" s="531"/>
      <c r="IU10" s="531"/>
      <c r="IV10" s="531"/>
      <c r="IW10" s="531"/>
      <c r="IX10" s="531"/>
      <c r="IY10" s="531"/>
      <c r="IZ10" s="531"/>
      <c r="JA10" s="531"/>
      <c r="JB10" s="531"/>
      <c r="JC10" s="531"/>
      <c r="JD10" s="531"/>
      <c r="JE10" s="531"/>
      <c r="JF10" s="531"/>
      <c r="JG10" s="531"/>
      <c r="JH10" s="531"/>
      <c r="JI10" s="386"/>
      <c r="JJ10" s="433" t="str">
        <f>INDEX(StdDisziplinen[StdDisziplin],JJ$3)</f>
        <v>Parkour</v>
      </c>
      <c r="JK10" s="434"/>
      <c r="JL10" s="434"/>
      <c r="JM10" s="434"/>
      <c r="JN10" s="434"/>
      <c r="JO10" s="434"/>
      <c r="JP10" s="434"/>
      <c r="JQ10" s="434"/>
      <c r="JR10" s="435"/>
      <c r="JS10" s="377"/>
      <c r="JT10" s="542" t="str">
        <f>$CV$10</f>
        <v>Diplomsteuerung</v>
      </c>
      <c r="JU10" s="543"/>
      <c r="JV10" s="544"/>
      <c r="JW10" s="395" t="str">
        <f>INDEX(StdGruppe[StdGruppe],JW2)</f>
        <v>Geräteturnen</v>
      </c>
      <c r="JX10" s="421" t="str">
        <f>INDEX(StdDisziplinen[StdDisziplin],JX3)</f>
        <v>Parkour</v>
      </c>
      <c r="JY10" s="395" t="s">
        <v>189</v>
      </c>
      <c r="JZ10" s="395" t="s">
        <v>188</v>
      </c>
      <c r="KA10" s="395" t="s">
        <v>190</v>
      </c>
      <c r="KB10" s="405" t="s">
        <v>186</v>
      </c>
      <c r="KC10" s="405" t="s">
        <v>187</v>
      </c>
      <c r="KD10" s="395" t="s">
        <v>191</v>
      </c>
      <c r="KE10" s="396" t="str">
        <f>$FA$10</f>
        <v>In den Durchschnitt eingehende Noten</v>
      </c>
      <c r="KF10" s="372"/>
      <c r="KG10" s="225"/>
      <c r="KH10" s="373"/>
      <c r="KI10" s="433" t="str">
        <f>INDEX(StdDisziplinen[StdDisziplin],KI$3)</f>
        <v>Tanzen</v>
      </c>
      <c r="KJ10" s="434"/>
      <c r="KK10" s="434"/>
      <c r="KL10" s="434"/>
      <c r="KM10" s="434"/>
      <c r="KN10" s="434"/>
      <c r="KO10" s="434"/>
      <c r="KP10" s="434"/>
      <c r="KQ10" s="435"/>
      <c r="KR10" s="373"/>
      <c r="KS10" s="433" t="str">
        <f>INDEX(StdDisziplinen[StdDisziplin],KS$3)</f>
        <v>Rope-Skipping</v>
      </c>
      <c r="KT10" s="434"/>
      <c r="KU10" s="434"/>
      <c r="KV10" s="434"/>
      <c r="KW10" s="434"/>
      <c r="KX10" s="434"/>
      <c r="KY10" s="434"/>
      <c r="KZ10" s="434"/>
      <c r="LA10" s="435"/>
      <c r="LB10" s="373"/>
      <c r="LC10" s="433" t="str">
        <f>INDEX(StdDisziplinen[StdDisziplin],LC$3)</f>
        <v>Aerobic</v>
      </c>
      <c r="LD10" s="434"/>
      <c r="LE10" s="434"/>
      <c r="LF10" s="434"/>
      <c r="LG10" s="434"/>
      <c r="LH10" s="434"/>
      <c r="LI10" s="434"/>
      <c r="LJ10" s="434"/>
      <c r="LK10" s="435"/>
      <c r="LL10" s="373"/>
      <c r="LM10" s="426" t="str">
        <f>INDEX(StdDisziplinen[StdDisziplin],LM3)</f>
        <v>Tanzen</v>
      </c>
      <c r="LN10" s="426" t="str">
        <f>INDEX(StdDisziplinen[StdDisziplin],LN3)</f>
        <v>Rope-Skipping</v>
      </c>
      <c r="LO10" s="424" t="str">
        <f>INDEX(StdDisziplinen[StdDisziplin],LO3)</f>
        <v>Aerobic</v>
      </c>
      <c r="LP10" s="511" t="s">
        <v>197</v>
      </c>
      <c r="LQ10" s="511" t="s">
        <v>188</v>
      </c>
      <c r="LR10" s="548" t="str">
        <f>$CV$10</f>
        <v>Diplomsteuerung</v>
      </c>
      <c r="LS10" s="549"/>
      <c r="LT10" s="549"/>
      <c r="LU10" s="549"/>
      <c r="LV10" s="549"/>
      <c r="LW10" s="549"/>
      <c r="LX10" s="549"/>
      <c r="LY10" s="549"/>
      <c r="LZ10" s="549"/>
      <c r="MA10" s="549"/>
      <c r="MB10" s="549"/>
      <c r="MC10" s="549"/>
      <c r="MD10" s="549"/>
      <c r="ME10" s="549"/>
      <c r="MF10" s="549"/>
      <c r="MG10" s="549"/>
      <c r="MH10" s="550"/>
      <c r="MI10" s="372"/>
      <c r="MJ10" s="229"/>
      <c r="MK10" s="51"/>
      <c r="ML10" s="433" t="str">
        <f>INDEX(StdDisziplinen[StdDisziplin],ML$3)</f>
        <v>Basketball</v>
      </c>
      <c r="MM10" s="434"/>
      <c r="MN10" s="434"/>
      <c r="MO10" s="434"/>
      <c r="MP10" s="434"/>
      <c r="MQ10" s="434"/>
      <c r="MR10" s="434"/>
      <c r="MS10" s="434"/>
      <c r="MT10" s="435"/>
      <c r="MU10" s="51"/>
      <c r="MV10" s="433" t="str">
        <f>INDEX(StdDisziplinen[StdDisziplin],MV$3)</f>
        <v>Fussball</v>
      </c>
      <c r="MW10" s="434"/>
      <c r="MX10" s="434"/>
      <c r="MY10" s="434"/>
      <c r="MZ10" s="434"/>
      <c r="NA10" s="434"/>
      <c r="NB10" s="434"/>
      <c r="NC10" s="434"/>
      <c r="ND10" s="435"/>
      <c r="NE10" s="51"/>
      <c r="NF10" s="433" t="str">
        <f>INDEX(StdDisziplinen[StdDisziplin],NF$3)</f>
        <v>Handball</v>
      </c>
      <c r="NG10" s="434"/>
      <c r="NH10" s="434"/>
      <c r="NI10" s="434"/>
      <c r="NJ10" s="434"/>
      <c r="NK10" s="434"/>
      <c r="NL10" s="434"/>
      <c r="NM10" s="434"/>
      <c r="NN10" s="435"/>
      <c r="NO10" s="51"/>
      <c r="NP10" s="433" t="str">
        <f>INDEX(StdDisziplinen[StdDisziplin],NP$3)</f>
        <v>Unihockey</v>
      </c>
      <c r="NQ10" s="434"/>
      <c r="NR10" s="434"/>
      <c r="NS10" s="434"/>
      <c r="NT10" s="434"/>
      <c r="NU10" s="434"/>
      <c r="NV10" s="434"/>
      <c r="NW10" s="434"/>
      <c r="NX10" s="435"/>
      <c r="NY10" s="51"/>
      <c r="NZ10" s="433" t="str">
        <f>INDEX(StdDisziplinen[StdDisziplin],NZ$3)</f>
        <v>Volleyball</v>
      </c>
      <c r="OA10" s="434"/>
      <c r="OB10" s="434"/>
      <c r="OC10" s="434"/>
      <c r="OD10" s="434"/>
      <c r="OE10" s="434"/>
      <c r="OF10" s="434"/>
      <c r="OG10" s="434"/>
      <c r="OH10" s="435"/>
      <c r="OI10" s="51"/>
      <c r="OJ10" s="424" t="str">
        <f>INDEX(StdDisziplinen[StdDisziplin],OJ3)</f>
        <v>Basketball</v>
      </c>
      <c r="OK10" s="426" t="str">
        <f>INDEX(StdDisziplinen[StdDisziplin],OK3)</f>
        <v>Fussball</v>
      </c>
      <c r="OL10" s="426" t="str">
        <f>INDEX(StdDisziplinen[StdDisziplin],OL3)</f>
        <v>Handball</v>
      </c>
      <c r="OM10" s="426" t="str">
        <f>INDEX(StdDisziplinen[StdDisziplin],OM3)</f>
        <v>Unihockey</v>
      </c>
      <c r="ON10" s="424" t="str">
        <f>INDEX(StdDisziplinen[StdDisziplin],ON3)</f>
        <v>Volleyball</v>
      </c>
      <c r="OO10" s="402" t="s">
        <v>189</v>
      </c>
      <c r="OP10" s="402" t="s">
        <v>188</v>
      </c>
      <c r="OQ10" s="395" t="s">
        <v>190</v>
      </c>
      <c r="OR10" s="431" t="s">
        <v>234</v>
      </c>
      <c r="OS10" s="431" t="s">
        <v>235</v>
      </c>
      <c r="OT10" s="431" t="s">
        <v>236</v>
      </c>
      <c r="OU10" s="395" t="s">
        <v>195</v>
      </c>
      <c r="OV10" s="439" t="str">
        <f>$CV$10</f>
        <v>Diplomsteuerung</v>
      </c>
      <c r="OW10" s="440"/>
      <c r="OX10" s="440"/>
      <c r="OY10" s="440"/>
      <c r="OZ10" s="440"/>
      <c r="PA10" s="440"/>
      <c r="PB10" s="440"/>
      <c r="PC10" s="440"/>
      <c r="PD10" s="440"/>
      <c r="PE10" s="440"/>
      <c r="PF10" s="440"/>
      <c r="PG10" s="440"/>
      <c r="PH10" s="440"/>
      <c r="PI10" s="440"/>
      <c r="PJ10" s="440"/>
      <c r="PK10" s="440"/>
      <c r="PL10" s="440"/>
      <c r="PM10" s="440"/>
      <c r="PN10" s="440"/>
      <c r="PO10" s="440"/>
      <c r="PP10" s="440"/>
      <c r="PQ10" s="440"/>
      <c r="PR10" s="440"/>
      <c r="PS10" s="440"/>
      <c r="PT10" s="440"/>
      <c r="PU10" s="440"/>
      <c r="PV10" s="440"/>
      <c r="PW10" s="440"/>
      <c r="PX10" s="440"/>
      <c r="PY10" s="440"/>
      <c r="PZ10" s="440"/>
      <c r="QA10" s="440"/>
      <c r="QB10" s="440"/>
      <c r="QC10" s="440"/>
      <c r="QD10" s="440"/>
      <c r="QE10" s="440"/>
      <c r="QF10" s="440"/>
      <c r="QG10" s="440"/>
      <c r="QH10" s="440"/>
      <c r="QI10" s="440"/>
      <c r="QJ10" s="440"/>
      <c r="QK10" s="440"/>
      <c r="QL10" s="440"/>
      <c r="QM10" s="440"/>
      <c r="QN10" s="440"/>
      <c r="QO10" s="440"/>
      <c r="QP10" s="440"/>
      <c r="QQ10" s="440"/>
      <c r="QR10" s="440"/>
      <c r="QS10" s="440"/>
      <c r="QT10" s="440"/>
      <c r="QU10" s="440"/>
      <c r="QV10" s="440"/>
      <c r="QW10" s="440"/>
      <c r="QX10" s="440"/>
      <c r="QY10" s="440"/>
      <c r="QZ10" s="440"/>
      <c r="RA10" s="440"/>
      <c r="RB10" s="440"/>
      <c r="RC10" s="440"/>
      <c r="RD10" s="440"/>
      <c r="RE10" s="440"/>
      <c r="RF10" s="428" t="s">
        <v>183</v>
      </c>
      <c r="RG10" s="429"/>
      <c r="RH10" s="429"/>
      <c r="RI10" s="429"/>
      <c r="RJ10" s="429"/>
      <c r="RK10" s="429"/>
      <c r="RL10" s="429"/>
      <c r="RM10" s="429"/>
      <c r="RN10" s="429"/>
      <c r="RO10" s="430"/>
      <c r="RP10" s="488" t="s">
        <v>196</v>
      </c>
      <c r="RQ10" s="489"/>
      <c r="RR10" s="489"/>
      <c r="RS10" s="489"/>
      <c r="RT10" s="489"/>
      <c r="RU10" s="490"/>
      <c r="RV10" s="408" t="str">
        <f>$FA$10</f>
        <v>In den Durchschnitt eingehende Noten</v>
      </c>
      <c r="RW10" s="133"/>
      <c r="RX10" s="225"/>
      <c r="RY10" s="373"/>
      <c r="RZ10" s="483"/>
      <c r="SA10" s="406"/>
      <c r="SB10" s="406"/>
      <c r="SC10" s="406"/>
      <c r="SD10" s="482" t="str">
        <f>INDEX(StdBS[StdNummer],$RZ$1)</f>
        <v>BS.1</v>
      </c>
      <c r="SE10" s="405" t="str">
        <f>INDEX(StdBS[StdNummer],$SA$1)</f>
        <v>BS.2</v>
      </c>
      <c r="SF10" s="405" t="str">
        <f>INDEX(StdBS[StdNummer],$SB$1)</f>
        <v>BS.3</v>
      </c>
      <c r="SG10" s="405" t="str">
        <f>INDEX(StdBS[StdNummer],$SC$1)</f>
        <v>BS.4</v>
      </c>
      <c r="SH10" s="422"/>
      <c r="SI10" s="396"/>
      <c r="SJ10" s="396"/>
      <c r="SK10" s="469"/>
      <c r="SL10" s="470"/>
      <c r="SM10" s="470"/>
      <c r="SN10" s="471"/>
      <c r="SO10" s="469"/>
      <c r="SP10" s="470"/>
      <c r="SQ10" s="470"/>
      <c r="SR10" s="470"/>
      <c r="SS10" s="470"/>
      <c r="ST10" s="471"/>
      <c r="SU10" s="381"/>
      <c r="SV10" s="480" t="str">
        <f>$RZ$9</f>
        <v>BS.1</v>
      </c>
      <c r="SW10" s="381"/>
      <c r="SX10" s="480" t="str">
        <f>$SA$9</f>
        <v>BS.2</v>
      </c>
      <c r="SY10" s="381"/>
      <c r="SZ10" s="480" t="str">
        <f>$SB$9</f>
        <v>BS.3</v>
      </c>
      <c r="TA10" s="381"/>
      <c r="TB10" s="480" t="str">
        <f>$SC$9</f>
        <v>BS.4</v>
      </c>
      <c r="TC10" s="373"/>
      <c r="TD10" s="426" t="str">
        <f>$FA$10</f>
        <v>In den Durchschnitt eingehende Noten</v>
      </c>
      <c r="TE10" s="372"/>
      <c r="TF10" s="474" t="s">
        <v>200</v>
      </c>
      <c r="TG10" s="215"/>
      <c r="TH10" s="517" t="s">
        <v>125</v>
      </c>
      <c r="TI10" s="518"/>
      <c r="TJ10" s="518"/>
      <c r="TK10" s="519"/>
      <c r="TL10" s="138"/>
      <c r="TM10" s="488" t="str">
        <f>INDEX(StdDisziplinen[StdDisziplin],TM$3)</f>
        <v>Schwimmen</v>
      </c>
      <c r="TN10" s="489"/>
      <c r="TO10" s="489"/>
      <c r="TP10" s="489"/>
      <c r="TQ10" s="489"/>
      <c r="TR10" s="489"/>
      <c r="TS10" s="489"/>
      <c r="TT10" s="490"/>
      <c r="TU10" s="366"/>
      <c r="TV10" s="436" t="str">
        <f>INDEX(StdDisziplinen[Fit1],$TV$1)</f>
        <v>Fit-Check</v>
      </c>
      <c r="TW10" s="437"/>
      <c r="TX10" s="437"/>
      <c r="TY10" s="437"/>
      <c r="TZ10" s="437"/>
      <c r="UA10" s="437"/>
      <c r="UB10" s="437"/>
      <c r="UC10" s="437"/>
      <c r="UD10" s="437"/>
      <c r="UE10" s="437"/>
      <c r="UF10" s="437"/>
      <c r="UG10" s="437"/>
      <c r="UH10" s="437"/>
      <c r="UI10" s="437"/>
      <c r="UJ10" s="437"/>
      <c r="UK10" s="437"/>
      <c r="UL10" s="437"/>
      <c r="UM10" s="437"/>
      <c r="UN10" s="437"/>
      <c r="UO10" s="437"/>
      <c r="UP10" s="437"/>
      <c r="UQ10" s="437"/>
      <c r="UR10" s="437"/>
      <c r="US10" s="437"/>
      <c r="UT10" s="437"/>
      <c r="UU10" s="437"/>
      <c r="UV10" s="437"/>
      <c r="UW10" s="437"/>
      <c r="UX10" s="437"/>
      <c r="UY10" s="437"/>
      <c r="UZ10" s="437"/>
      <c r="VA10" s="437"/>
      <c r="VB10" s="437"/>
      <c r="VC10" s="437"/>
      <c r="VD10" s="437"/>
      <c r="VE10" s="437"/>
      <c r="VF10" s="437"/>
      <c r="VG10" s="437"/>
      <c r="VH10" s="437"/>
      <c r="VI10" s="437"/>
      <c r="VJ10" s="438"/>
      <c r="VK10" s="133"/>
      <c r="VL10" s="497" t="str">
        <f>INDEX(StdDisziplinen[StdDisziplin],VL$3)</f>
        <v>Konditionsparcours</v>
      </c>
      <c r="VM10" s="498"/>
      <c r="VN10" s="498"/>
      <c r="VO10" s="498"/>
      <c r="VP10" s="498"/>
      <c r="VQ10" s="498"/>
      <c r="VR10" s="498"/>
      <c r="VS10" s="498"/>
      <c r="VT10" s="499"/>
      <c r="VU10" s="22"/>
    </row>
    <row r="11" spans="1:593" ht="14.4" customHeight="1" x14ac:dyDescent="0.3">
      <c r="A11" s="22"/>
      <c r="B11" s="88" t="s">
        <v>29</v>
      </c>
      <c r="C11" s="589" t="s">
        <v>393</v>
      </c>
      <c r="D11" s="27"/>
      <c r="E11" s="151" t="s">
        <v>109</v>
      </c>
      <c r="G11" s="497" t="str">
        <f>INDEX(StdDisziplinen[StdDisziplin],G$3)</f>
        <v>60-m-Lauf</v>
      </c>
      <c r="H11" s="498"/>
      <c r="I11" s="498"/>
      <c r="J11" s="498"/>
      <c r="K11" s="498"/>
      <c r="L11" s="498"/>
      <c r="M11" s="498"/>
      <c r="N11" s="498"/>
      <c r="O11" s="499"/>
      <c r="P11" s="83"/>
      <c r="Q11" s="497" t="str">
        <f>INDEX(StdDisziplinen[StdDisziplin],Q$3)</f>
        <v>80-m-Lauf</v>
      </c>
      <c r="R11" s="498"/>
      <c r="S11" s="498"/>
      <c r="T11" s="498"/>
      <c r="U11" s="498"/>
      <c r="V11" s="498"/>
      <c r="W11" s="498"/>
      <c r="X11" s="498"/>
      <c r="Y11" s="499"/>
      <c r="Z11" s="84"/>
      <c r="AA11" s="497" t="str">
        <f>INDEX(StdDisziplinen[StdDisziplin],AA$3)</f>
        <v>12-Min.-Lauf (Halle)</v>
      </c>
      <c r="AB11" s="498"/>
      <c r="AC11" s="498"/>
      <c r="AD11" s="498"/>
      <c r="AE11" s="498"/>
      <c r="AF11" s="498"/>
      <c r="AG11" s="498"/>
      <c r="AH11" s="498"/>
      <c r="AI11" s="499"/>
      <c r="AJ11" s="84"/>
      <c r="AK11" s="497" t="str">
        <f>INDEX(StdDisziplinen[StdDisziplin],AK$3)</f>
        <v>12-Min.-Lauf (im Freien)</v>
      </c>
      <c r="AL11" s="498"/>
      <c r="AM11" s="498"/>
      <c r="AN11" s="498"/>
      <c r="AO11" s="498"/>
      <c r="AP11" s="498"/>
      <c r="AQ11" s="498"/>
      <c r="AR11" s="498"/>
      <c r="AS11" s="499"/>
      <c r="AT11" s="84"/>
      <c r="AU11" s="497" t="str">
        <f>INDEX(StdDisziplinen[StdDisziplin],AU$3)</f>
        <v>Hochsprung</v>
      </c>
      <c r="AV11" s="498"/>
      <c r="AW11" s="498"/>
      <c r="AX11" s="498"/>
      <c r="AY11" s="498"/>
      <c r="AZ11" s="498"/>
      <c r="BA11" s="498"/>
      <c r="BB11" s="498"/>
      <c r="BC11" s="499"/>
      <c r="BD11" s="84"/>
      <c r="BE11" s="497" t="str">
        <f>INDEX(StdDisziplinen[StdDisziplin],BE$3)</f>
        <v>Weitsprung</v>
      </c>
      <c r="BF11" s="498"/>
      <c r="BG11" s="498"/>
      <c r="BH11" s="498"/>
      <c r="BI11" s="498"/>
      <c r="BJ11" s="498"/>
      <c r="BK11" s="498"/>
      <c r="BL11" s="498"/>
      <c r="BM11" s="499"/>
      <c r="BN11" s="84"/>
      <c r="BO11" s="433" t="str">
        <f>INDEX(StdDisziplinen[StdDisziplin],BO$3)</f>
        <v>Ballwurf</v>
      </c>
      <c r="BP11" s="434"/>
      <c r="BQ11" s="434"/>
      <c r="BR11" s="434"/>
      <c r="BS11" s="434"/>
      <c r="BT11" s="434"/>
      <c r="BU11" s="434"/>
      <c r="BV11" s="434"/>
      <c r="BW11" s="435"/>
      <c r="BX11" s="84"/>
      <c r="BY11" s="433" t="str">
        <f>INDEX(StdDisziplinen[StdDisziplin],BY$3)</f>
        <v>Kugelstossen</v>
      </c>
      <c r="BZ11" s="434"/>
      <c r="CA11" s="434"/>
      <c r="CB11" s="434"/>
      <c r="CC11" s="434"/>
      <c r="CD11" s="434"/>
      <c r="CE11" s="434"/>
      <c r="CF11" s="434"/>
      <c r="CG11" s="435"/>
      <c r="CH11" s="84"/>
      <c r="CI11" s="433" t="str">
        <f>INDEX(StdDisziplinen[StdDisziplin],CI$3)</f>
        <v>Speerwurf</v>
      </c>
      <c r="CJ11" s="434"/>
      <c r="CK11" s="434"/>
      <c r="CL11" s="434"/>
      <c r="CM11" s="434"/>
      <c r="CN11" s="434"/>
      <c r="CO11" s="434"/>
      <c r="CP11" s="434"/>
      <c r="CQ11" s="435"/>
      <c r="CR11" s="375"/>
      <c r="CS11" s="532" t="str">
        <f>INDEX(StdDisziplinen[StdDisziplin],CS$3)</f>
        <v>60-m-Lauf</v>
      </c>
      <c r="CT11" s="535" t="str">
        <f>INDEX(StdDisziplinen[StdDisziplin],CT$3)</f>
        <v>80-m-Lauf</v>
      </c>
      <c r="CU11" s="482" t="s">
        <v>153</v>
      </c>
      <c r="CV11" s="428" t="str">
        <f>Stammdaten!$AX$20</f>
        <v>Disziplin</v>
      </c>
      <c r="CW11" s="430"/>
      <c r="CX11" s="545" t="s">
        <v>370</v>
      </c>
      <c r="CY11" s="546"/>
      <c r="CZ11" s="546"/>
      <c r="DA11" s="546"/>
      <c r="DB11" s="546"/>
      <c r="DC11" s="547"/>
      <c r="DD11" s="511" t="str">
        <f>INDEX(StdDisziplinen[StdDisziplin],DD$3)</f>
        <v>12-Min.-Lauf (Halle)</v>
      </c>
      <c r="DE11" s="511" t="str">
        <f>INDEX(StdDisziplinen[StdDisziplin],DE$3)</f>
        <v>12-Min.-Lauf (im Freien)</v>
      </c>
      <c r="DF11" s="482" t="str">
        <f>$CU$11</f>
        <v>Beste Note</v>
      </c>
      <c r="DG11" s="428" t="str">
        <f>Stammdaten!$AX$20</f>
        <v>Disziplin</v>
      </c>
      <c r="DH11" s="430"/>
      <c r="DI11" s="539" t="str">
        <f>$CX$11</f>
        <v>Erreichtes Ergebnis</v>
      </c>
      <c r="DJ11" s="540"/>
      <c r="DK11" s="540"/>
      <c r="DL11" s="540"/>
      <c r="DM11" s="540"/>
      <c r="DN11" s="541"/>
      <c r="DO11" s="511" t="str">
        <f>INDEX(StdDisziplinen[StdDisziplin],DO$3)</f>
        <v>Hochsprung</v>
      </c>
      <c r="DP11" s="511" t="str">
        <f>INDEX(StdDisziplinen[StdDisziplin],DP$3)</f>
        <v>Weitsprung</v>
      </c>
      <c r="DQ11" s="482" t="str">
        <f>$CU$11</f>
        <v>Beste Note</v>
      </c>
      <c r="DR11" s="428" t="str">
        <f>Stammdaten!$AX$20</f>
        <v>Disziplin</v>
      </c>
      <c r="DS11" s="430"/>
      <c r="DT11" s="539" t="str">
        <f>$CX$11</f>
        <v>Erreichtes Ergebnis</v>
      </c>
      <c r="DU11" s="540"/>
      <c r="DV11" s="540"/>
      <c r="DW11" s="540"/>
      <c r="DX11" s="540"/>
      <c r="DY11" s="541"/>
      <c r="DZ11" s="511" t="str">
        <f>INDEX(StdDisziplinen[StdDisziplin],DZ$3)</f>
        <v>Ballwurf</v>
      </c>
      <c r="EA11" s="511" t="str">
        <f>INDEX(StdDisziplinen[StdDisziplin],EA$3)</f>
        <v>Kugelstossen</v>
      </c>
      <c r="EB11" s="511" t="str">
        <f>INDEX(StdDisziplinen[StdDisziplin],EB$3)</f>
        <v>Speerwurf</v>
      </c>
      <c r="EC11" s="482" t="str">
        <f>$CU$11</f>
        <v>Beste Note</v>
      </c>
      <c r="ED11" s="395" t="s">
        <v>197</v>
      </c>
      <c r="EE11" s="395" t="s">
        <v>188</v>
      </c>
      <c r="EF11" s="428" t="str">
        <f>Stammdaten!$AX$20</f>
        <v>Disziplin</v>
      </c>
      <c r="EG11" s="430"/>
      <c r="EH11" s="539" t="str">
        <f>$CX$11</f>
        <v>Erreichtes Ergebnis</v>
      </c>
      <c r="EI11" s="540"/>
      <c r="EJ11" s="540"/>
      <c r="EK11" s="540"/>
      <c r="EL11" s="540"/>
      <c r="EM11" s="540"/>
      <c r="EN11" s="396"/>
      <c r="EO11" s="422"/>
      <c r="EP11" s="491"/>
      <c r="EQ11" s="492"/>
      <c r="ER11" s="492"/>
      <c r="ES11" s="493"/>
      <c r="ET11" s="396"/>
      <c r="EU11" s="422"/>
      <c r="EV11" s="491"/>
      <c r="EW11" s="492"/>
      <c r="EX11" s="492"/>
      <c r="EY11" s="492"/>
      <c r="EZ11" s="493"/>
      <c r="FA11" s="426"/>
      <c r="FB11" s="371"/>
      <c r="FC11" s="223" t="s">
        <v>114</v>
      </c>
      <c r="FD11" s="132"/>
      <c r="FE11" s="433" t="str">
        <f>INDEX(StdDisziplinen[StdDisziplin],FE$3)</f>
        <v>Reck</v>
      </c>
      <c r="FF11" s="434"/>
      <c r="FG11" s="434"/>
      <c r="FH11" s="434"/>
      <c r="FI11" s="435"/>
      <c r="FJ11" s="84"/>
      <c r="FK11" s="433" t="str">
        <f>INDEX(StdDisziplinen[StdDisziplin],FK$3)</f>
        <v>Boden</v>
      </c>
      <c r="FL11" s="434"/>
      <c r="FM11" s="434"/>
      <c r="FN11" s="434"/>
      <c r="FO11" s="435"/>
      <c r="FP11" s="84"/>
      <c r="FQ11" s="433" t="str">
        <f>INDEX(StdDisziplinen[StdDisziplin],FQ$3)</f>
        <v>Stufenbarren</v>
      </c>
      <c r="FR11" s="434"/>
      <c r="FS11" s="434"/>
      <c r="FT11" s="434"/>
      <c r="FU11" s="435"/>
      <c r="FV11" s="84"/>
      <c r="FW11" s="433" t="str">
        <f>INDEX(StdDisziplinen[StdDisziplin],FW$3)</f>
        <v>Parallelbarren</v>
      </c>
      <c r="FX11" s="434"/>
      <c r="FY11" s="434"/>
      <c r="FZ11" s="434"/>
      <c r="GA11" s="435"/>
      <c r="GB11" s="84"/>
      <c r="GC11" s="433" t="str">
        <f>INDEX(StdDisziplinen[StdDisziplin],GC$3)</f>
        <v>Schaukelringe</v>
      </c>
      <c r="GD11" s="434"/>
      <c r="GE11" s="434"/>
      <c r="GF11" s="434"/>
      <c r="GG11" s="435"/>
      <c r="GH11" s="84"/>
      <c r="GI11" s="433" t="str">
        <f>INDEX(StdDisziplinen[StdDisziplin],GI$3)</f>
        <v>Sprung</v>
      </c>
      <c r="GJ11" s="434"/>
      <c r="GK11" s="434"/>
      <c r="GL11" s="434"/>
      <c r="GM11" s="435"/>
      <c r="GN11" s="372"/>
      <c r="GO11" s="424" t="str">
        <f>INDEX(StdDisziplinen[StdDisziplin],GO3)</f>
        <v>Reck</v>
      </c>
      <c r="GP11" s="424" t="str">
        <f>INDEX(StdDisziplinen[StdDisziplin],GP3)</f>
        <v>Boden</v>
      </c>
      <c r="GQ11" s="426" t="str">
        <f>INDEX(StdDisziplinen[StdDisziplin],GQ3)</f>
        <v>Stufenbarren</v>
      </c>
      <c r="GR11" s="426" t="str">
        <f>INDEX(StdDisziplinen[StdDisziplin],GR3)</f>
        <v>Parallelbarren</v>
      </c>
      <c r="GS11" s="426" t="str">
        <f>INDEX(StdDisziplinen[StdDisziplin],GS3)</f>
        <v>Schaukelringe</v>
      </c>
      <c r="GT11" s="424" t="str">
        <f>INDEX(StdDisziplinen[StdDisziplin],GT3)</f>
        <v>Sprung</v>
      </c>
      <c r="GU11" s="395" t="s">
        <v>189</v>
      </c>
      <c r="GV11" s="395" t="s">
        <v>188</v>
      </c>
      <c r="GW11" s="395" t="s">
        <v>190</v>
      </c>
      <c r="GX11" s="482" t="s">
        <v>338</v>
      </c>
      <c r="GY11" s="482" t="s">
        <v>339</v>
      </c>
      <c r="GZ11" s="482" t="s">
        <v>340</v>
      </c>
      <c r="HA11" s="439" t="str">
        <f>CV10</f>
        <v>Diplomsteuerung</v>
      </c>
      <c r="HB11" s="440"/>
      <c r="HC11" s="440"/>
      <c r="HD11" s="440"/>
      <c r="HE11" s="440"/>
      <c r="HF11" s="440"/>
      <c r="HG11" s="440"/>
      <c r="HH11" s="440"/>
      <c r="HI11" s="440"/>
      <c r="HJ11" s="440"/>
      <c r="HK11" s="440"/>
      <c r="HL11" s="440"/>
      <c r="HM11" s="440"/>
      <c r="HN11" s="440"/>
      <c r="HO11" s="440"/>
      <c r="HP11" s="440"/>
      <c r="HQ11" s="440"/>
      <c r="HR11" s="440"/>
      <c r="HS11" s="440"/>
      <c r="HT11" s="440"/>
      <c r="HU11" s="440"/>
      <c r="HV11" s="440"/>
      <c r="HW11" s="440"/>
      <c r="HX11" s="440"/>
      <c r="HY11" s="440"/>
      <c r="HZ11" s="440"/>
      <c r="IA11" s="440"/>
      <c r="IB11" s="440"/>
      <c r="IC11" s="440"/>
      <c r="ID11" s="440"/>
      <c r="IE11" s="440"/>
      <c r="IF11" s="440"/>
      <c r="IG11" s="440"/>
      <c r="IH11" s="440"/>
      <c r="II11" s="440"/>
      <c r="IJ11" s="440"/>
      <c r="IK11" s="440"/>
      <c r="IL11" s="440"/>
      <c r="IM11" s="440"/>
      <c r="IN11" s="440"/>
      <c r="IO11" s="440"/>
      <c r="IP11" s="440"/>
      <c r="IQ11" s="440"/>
      <c r="IR11" s="440"/>
      <c r="IS11" s="440"/>
      <c r="IT11" s="440"/>
      <c r="IU11" s="440"/>
      <c r="IV11" s="440"/>
      <c r="IW11" s="440"/>
      <c r="IX11" s="440"/>
      <c r="IY11" s="440"/>
      <c r="IZ11" s="395" t="s">
        <v>182</v>
      </c>
      <c r="JA11" s="374"/>
      <c r="JB11" s="500" t="s">
        <v>174</v>
      </c>
      <c r="JC11" s="501"/>
      <c r="JD11" s="501"/>
      <c r="JE11" s="501"/>
      <c r="JF11" s="501"/>
      <c r="JG11" s="501"/>
      <c r="JH11" s="502"/>
      <c r="JI11" s="84"/>
      <c r="JJ11" s="433"/>
      <c r="JK11" s="434"/>
      <c r="JL11" s="434"/>
      <c r="JM11" s="434"/>
      <c r="JN11" s="434"/>
      <c r="JO11" s="434"/>
      <c r="JP11" s="434"/>
      <c r="JQ11" s="434"/>
      <c r="JR11" s="435"/>
      <c r="JS11" s="376"/>
      <c r="JT11" s="488" t="str">
        <f>$JJ$10</f>
        <v>Parkour</v>
      </c>
      <c r="JU11" s="489"/>
      <c r="JV11" s="490"/>
      <c r="JW11" s="396"/>
      <c r="JX11" s="422"/>
      <c r="JY11" s="396"/>
      <c r="JZ11" s="396"/>
      <c r="KA11" s="396"/>
      <c r="KB11" s="406"/>
      <c r="KC11" s="406"/>
      <c r="KD11" s="422"/>
      <c r="KE11" s="396"/>
      <c r="KF11" s="371"/>
      <c r="KG11" s="223" t="s">
        <v>114</v>
      </c>
      <c r="KH11" s="132"/>
      <c r="KI11" s="433"/>
      <c r="KJ11" s="434"/>
      <c r="KK11" s="434"/>
      <c r="KL11" s="434"/>
      <c r="KM11" s="434"/>
      <c r="KN11" s="434"/>
      <c r="KO11" s="434"/>
      <c r="KP11" s="434"/>
      <c r="KQ11" s="435"/>
      <c r="KR11" s="84"/>
      <c r="KS11" s="433"/>
      <c r="KT11" s="434"/>
      <c r="KU11" s="434"/>
      <c r="KV11" s="434"/>
      <c r="KW11" s="434"/>
      <c r="KX11" s="434"/>
      <c r="KY11" s="434"/>
      <c r="KZ11" s="434"/>
      <c r="LA11" s="435"/>
      <c r="LB11" s="84"/>
      <c r="LC11" s="433"/>
      <c r="LD11" s="434"/>
      <c r="LE11" s="434"/>
      <c r="LF11" s="434"/>
      <c r="LG11" s="434"/>
      <c r="LH11" s="434"/>
      <c r="LI11" s="434"/>
      <c r="LJ11" s="434"/>
      <c r="LK11" s="435"/>
      <c r="LL11" s="373"/>
      <c r="LM11" s="426"/>
      <c r="LN11" s="426"/>
      <c r="LO11" s="424"/>
      <c r="LP11" s="426"/>
      <c r="LQ11" s="426"/>
      <c r="LR11" s="264"/>
      <c r="LS11" s="264"/>
      <c r="LT11" s="264"/>
      <c r="LU11" s="497" t="str">
        <f>$KI$9</f>
        <v>BS.3   Darstellen und Tanzen</v>
      </c>
      <c r="LV11" s="498"/>
      <c r="LW11" s="498"/>
      <c r="LX11" s="498"/>
      <c r="LY11" s="498"/>
      <c r="LZ11" s="498"/>
      <c r="MA11" s="498"/>
      <c r="MB11" s="498"/>
      <c r="MC11" s="498"/>
      <c r="MD11" s="498"/>
      <c r="ME11" s="498"/>
      <c r="MF11" s="498"/>
      <c r="MG11" s="498"/>
      <c r="MH11" s="499"/>
      <c r="MI11" s="372"/>
      <c r="MJ11" s="224" t="s">
        <v>153</v>
      </c>
      <c r="MK11" s="51"/>
      <c r="ML11" s="433"/>
      <c r="MM11" s="434"/>
      <c r="MN11" s="434"/>
      <c r="MO11" s="434"/>
      <c r="MP11" s="434"/>
      <c r="MQ11" s="434"/>
      <c r="MR11" s="434"/>
      <c r="MS11" s="434"/>
      <c r="MT11" s="435"/>
      <c r="MU11" s="84"/>
      <c r="MV11" s="433"/>
      <c r="MW11" s="434"/>
      <c r="MX11" s="434"/>
      <c r="MY11" s="434"/>
      <c r="MZ11" s="434"/>
      <c r="NA11" s="434"/>
      <c r="NB11" s="434"/>
      <c r="NC11" s="434"/>
      <c r="ND11" s="435"/>
      <c r="NE11" s="84"/>
      <c r="NF11" s="433"/>
      <c r="NG11" s="434"/>
      <c r="NH11" s="434"/>
      <c r="NI11" s="434"/>
      <c r="NJ11" s="434"/>
      <c r="NK11" s="434"/>
      <c r="NL11" s="434"/>
      <c r="NM11" s="434"/>
      <c r="NN11" s="435"/>
      <c r="NO11" s="84"/>
      <c r="NP11" s="433"/>
      <c r="NQ11" s="434"/>
      <c r="NR11" s="434"/>
      <c r="NS11" s="434"/>
      <c r="NT11" s="434"/>
      <c r="NU11" s="434"/>
      <c r="NV11" s="434"/>
      <c r="NW11" s="434"/>
      <c r="NX11" s="435"/>
      <c r="NY11" s="84"/>
      <c r="NZ11" s="433"/>
      <c r="OA11" s="434"/>
      <c r="OB11" s="434"/>
      <c r="OC11" s="434"/>
      <c r="OD11" s="434"/>
      <c r="OE11" s="434"/>
      <c r="OF11" s="434"/>
      <c r="OG11" s="434"/>
      <c r="OH11" s="435"/>
      <c r="OI11" s="372"/>
      <c r="OJ11" s="424"/>
      <c r="OK11" s="426"/>
      <c r="OL11" s="426"/>
      <c r="OM11" s="426"/>
      <c r="ON11" s="424"/>
      <c r="OO11" s="402"/>
      <c r="OP11" s="402"/>
      <c r="OQ11" s="396"/>
      <c r="OR11" s="432"/>
      <c r="OS11" s="432"/>
      <c r="OT11" s="432"/>
      <c r="OU11" s="396"/>
      <c r="OV11" s="380"/>
      <c r="OW11" s="380"/>
      <c r="OX11" s="380"/>
      <c r="OY11" s="380"/>
      <c r="OZ11" s="380"/>
      <c r="PA11" s="284"/>
      <c r="PB11" s="395" t="s">
        <v>526</v>
      </c>
      <c r="PC11" s="395" t="s">
        <v>532</v>
      </c>
      <c r="PD11" s="456" t="s">
        <v>529</v>
      </c>
      <c r="PE11" s="441" t="str">
        <f>"2. "&amp;$HJ$12</f>
        <v>2. Max</v>
      </c>
      <c r="PF11" s="441" t="str">
        <f>$HJ$12&amp;" =?"</f>
        <v>Max =?</v>
      </c>
      <c r="PG11" s="551" t="str">
        <f>$HM$12</f>
        <v>Unterzählige Disziplin</v>
      </c>
      <c r="PH11" s="552"/>
      <c r="PI11" s="552"/>
      <c r="PJ11" s="552"/>
      <c r="PK11" s="552"/>
      <c r="PL11" s="553"/>
      <c r="PM11" s="557" t="str">
        <f>"Erste "&amp;Stammdaten!$AX$35</f>
        <v>Erste Spielsportart</v>
      </c>
      <c r="PN11" s="558"/>
      <c r="PO11" s="558"/>
      <c r="PP11" s="558"/>
      <c r="PQ11" s="558"/>
      <c r="PR11" s="558"/>
      <c r="PS11" s="558"/>
      <c r="PT11" s="558"/>
      <c r="PU11" s="558"/>
      <c r="PV11" s="558"/>
      <c r="PW11" s="558"/>
      <c r="PX11" s="558"/>
      <c r="PY11" s="559"/>
      <c r="PZ11" s="365" t="s">
        <v>450</v>
      </c>
      <c r="QA11" s="563" t="str">
        <f>$HM$12</f>
        <v>Unterzählige Disziplin</v>
      </c>
      <c r="QB11" s="564"/>
      <c r="QC11" s="564"/>
      <c r="QD11" s="564"/>
      <c r="QE11" s="565"/>
      <c r="QF11" s="557" t="str">
        <f>LEFT(PZ$11,5)&amp;"e "&amp;Stammdaten!$AX$35</f>
        <v>Zweite Spielsportart</v>
      </c>
      <c r="QG11" s="558"/>
      <c r="QH11" s="558"/>
      <c r="QI11" s="558"/>
      <c r="QJ11" s="558"/>
      <c r="QK11" s="558"/>
      <c r="QL11" s="558"/>
      <c r="QM11" s="558"/>
      <c r="QN11" s="558"/>
      <c r="QO11" s="558"/>
      <c r="QP11" s="558"/>
      <c r="QQ11" s="558"/>
      <c r="QR11" s="559"/>
      <c r="QS11" s="365" t="s">
        <v>452</v>
      </c>
      <c r="QT11" s="428" t="str">
        <f>LEFT(QS$11,5)&amp;"e "&amp;Stammdaten!$AX$35</f>
        <v>Dritte Spielsportart</v>
      </c>
      <c r="QU11" s="429"/>
      <c r="QV11" s="429"/>
      <c r="QW11" s="429"/>
      <c r="QX11" s="429"/>
      <c r="QY11" s="429"/>
      <c r="QZ11" s="429"/>
      <c r="RA11" s="429"/>
      <c r="RB11" s="429"/>
      <c r="RC11" s="429"/>
      <c r="RD11" s="429"/>
      <c r="RE11" s="430"/>
      <c r="RF11" s="243"/>
      <c r="RG11" s="243"/>
      <c r="RH11" s="243"/>
      <c r="RI11" s="243"/>
      <c r="RJ11" s="243"/>
      <c r="RK11" s="378" t="s">
        <v>7</v>
      </c>
      <c r="RL11" s="378" t="s">
        <v>7</v>
      </c>
      <c r="RM11" s="378" t="s">
        <v>7</v>
      </c>
      <c r="RN11" s="378" t="s">
        <v>7</v>
      </c>
      <c r="RO11" s="378" t="s">
        <v>7</v>
      </c>
      <c r="RP11" s="491"/>
      <c r="RQ11" s="492"/>
      <c r="RR11" s="492"/>
      <c r="RS11" s="492"/>
      <c r="RT11" s="492"/>
      <c r="RU11" s="493"/>
      <c r="RV11" s="408"/>
      <c r="RW11" s="371"/>
      <c r="RX11" s="228" t="s">
        <v>114</v>
      </c>
      <c r="RY11" s="373"/>
      <c r="RZ11" s="483"/>
      <c r="SA11" s="406"/>
      <c r="SB11" s="406"/>
      <c r="SC11" s="406"/>
      <c r="SD11" s="483"/>
      <c r="SE11" s="406"/>
      <c r="SF11" s="406"/>
      <c r="SG11" s="406"/>
      <c r="SH11" s="422"/>
      <c r="SI11" s="396"/>
      <c r="SJ11" s="396"/>
      <c r="SK11" s="469"/>
      <c r="SL11" s="470"/>
      <c r="SM11" s="470"/>
      <c r="SN11" s="471"/>
      <c r="SO11" s="469"/>
      <c r="SP11" s="470"/>
      <c r="SQ11" s="470"/>
      <c r="SR11" s="470"/>
      <c r="SS11" s="470"/>
      <c r="ST11" s="471"/>
      <c r="SU11" s="381"/>
      <c r="SV11" s="480"/>
      <c r="SW11" s="381"/>
      <c r="SX11" s="480"/>
      <c r="SY11" s="381"/>
      <c r="SZ11" s="480"/>
      <c r="TA11" s="381"/>
      <c r="TB11" s="480"/>
      <c r="TC11" s="373"/>
      <c r="TD11" s="426"/>
      <c r="TE11" s="372"/>
      <c r="TF11" s="475"/>
      <c r="TG11" s="215"/>
      <c r="TH11" s="520"/>
      <c r="TI11" s="521"/>
      <c r="TJ11" s="521"/>
      <c r="TK11" s="522"/>
      <c r="TL11" s="138"/>
      <c r="TM11" s="491"/>
      <c r="TN11" s="492"/>
      <c r="TO11" s="492"/>
      <c r="TP11" s="492"/>
      <c r="TQ11" s="492"/>
      <c r="TR11" s="492"/>
      <c r="TS11" s="492"/>
      <c r="TT11" s="493"/>
      <c r="TU11" s="366"/>
      <c r="TV11" s="436" t="str">
        <f>INDEX(StdDisziplinen[Fähigkeit],TV$2)</f>
        <v>Ausdauer</v>
      </c>
      <c r="TW11" s="437"/>
      <c r="TX11" s="437"/>
      <c r="TY11" s="437"/>
      <c r="TZ11" s="437"/>
      <c r="UA11" s="437"/>
      <c r="UB11" s="437"/>
      <c r="UC11" s="437"/>
      <c r="UD11" s="437"/>
      <c r="UE11" s="437"/>
      <c r="UF11" s="438"/>
      <c r="UG11" s="84"/>
      <c r="UH11" s="433" t="str">
        <f>INDEX(StdDisziplinen[Fähigkeit],UH$2)</f>
        <v>Beweglichkeit</v>
      </c>
      <c r="UI11" s="434"/>
      <c r="UJ11" s="434"/>
      <c r="UK11" s="434"/>
      <c r="UL11" s="434"/>
      <c r="UM11" s="434"/>
      <c r="UN11" s="434"/>
      <c r="UO11" s="435"/>
      <c r="UP11" s="84"/>
      <c r="UQ11" s="433" t="str">
        <f>INDEX(StdDisziplinen[Fähigkeit],UQ$2)</f>
        <v>Rumpfkraft</v>
      </c>
      <c r="UR11" s="434"/>
      <c r="US11" s="434"/>
      <c r="UT11" s="434"/>
      <c r="UU11" s="434"/>
      <c r="UV11" s="434"/>
      <c r="UW11" s="434"/>
      <c r="UX11" s="435"/>
      <c r="UY11" s="84"/>
      <c r="UZ11" s="436" t="str">
        <f>INDEX(StdDisziplinen[Fähigkeit],UZ$2)</f>
        <v>Schnelligkeit</v>
      </c>
      <c r="VA11" s="437"/>
      <c r="VB11" s="437"/>
      <c r="VC11" s="437"/>
      <c r="VD11" s="437"/>
      <c r="VE11" s="437"/>
      <c r="VF11" s="437"/>
      <c r="VG11" s="437"/>
      <c r="VH11" s="437"/>
      <c r="VI11" s="437"/>
      <c r="VJ11" s="438"/>
      <c r="VK11" s="147"/>
      <c r="VL11" s="433"/>
      <c r="VM11" s="434"/>
      <c r="VN11" s="434"/>
      <c r="VO11" s="434"/>
      <c r="VP11" s="434"/>
      <c r="VQ11" s="434"/>
      <c r="VR11" s="434"/>
      <c r="VS11" s="434"/>
      <c r="VT11" s="435"/>
      <c r="VU11" s="22"/>
    </row>
    <row r="12" spans="1:593" ht="14.4" customHeight="1" x14ac:dyDescent="0.3">
      <c r="A12" s="22"/>
      <c r="B12" s="88" t="s">
        <v>27</v>
      </c>
      <c r="C12" s="589"/>
      <c r="D12" s="27"/>
      <c r="E12" s="53" t="s">
        <v>126</v>
      </c>
      <c r="G12" s="436"/>
      <c r="H12" s="437"/>
      <c r="I12" s="437"/>
      <c r="J12" s="437"/>
      <c r="K12" s="437"/>
      <c r="L12" s="437"/>
      <c r="M12" s="437"/>
      <c r="N12" s="437"/>
      <c r="O12" s="438"/>
      <c r="P12" s="84"/>
      <c r="Q12" s="436"/>
      <c r="R12" s="437"/>
      <c r="S12" s="437"/>
      <c r="T12" s="437"/>
      <c r="U12" s="437"/>
      <c r="V12" s="437"/>
      <c r="W12" s="437"/>
      <c r="X12" s="437"/>
      <c r="Y12" s="438"/>
      <c r="Z12" s="84"/>
      <c r="AA12" s="436"/>
      <c r="AB12" s="437"/>
      <c r="AC12" s="437"/>
      <c r="AD12" s="437"/>
      <c r="AE12" s="437"/>
      <c r="AF12" s="437"/>
      <c r="AG12" s="437"/>
      <c r="AH12" s="437"/>
      <c r="AI12" s="438"/>
      <c r="AJ12" s="84"/>
      <c r="AK12" s="436"/>
      <c r="AL12" s="437"/>
      <c r="AM12" s="437"/>
      <c r="AN12" s="437"/>
      <c r="AO12" s="437"/>
      <c r="AP12" s="437"/>
      <c r="AQ12" s="437"/>
      <c r="AR12" s="437"/>
      <c r="AS12" s="438"/>
      <c r="AT12" s="84"/>
      <c r="AU12" s="436"/>
      <c r="AV12" s="437"/>
      <c r="AW12" s="437"/>
      <c r="AX12" s="437"/>
      <c r="AY12" s="437"/>
      <c r="AZ12" s="437"/>
      <c r="BA12" s="437"/>
      <c r="BB12" s="437"/>
      <c r="BC12" s="438"/>
      <c r="BD12" s="84"/>
      <c r="BE12" s="436"/>
      <c r="BF12" s="437"/>
      <c r="BG12" s="437"/>
      <c r="BH12" s="437"/>
      <c r="BI12" s="437"/>
      <c r="BJ12" s="437"/>
      <c r="BK12" s="437"/>
      <c r="BL12" s="437"/>
      <c r="BM12" s="438"/>
      <c r="BN12" s="84"/>
      <c r="BO12" s="436"/>
      <c r="BP12" s="437"/>
      <c r="BQ12" s="437"/>
      <c r="BR12" s="437"/>
      <c r="BS12" s="437"/>
      <c r="BT12" s="437"/>
      <c r="BU12" s="437"/>
      <c r="BV12" s="437"/>
      <c r="BW12" s="438"/>
      <c r="BX12" s="84"/>
      <c r="BY12" s="436"/>
      <c r="BZ12" s="437"/>
      <c r="CA12" s="437"/>
      <c r="CB12" s="437"/>
      <c r="CC12" s="437"/>
      <c r="CD12" s="437"/>
      <c r="CE12" s="437"/>
      <c r="CF12" s="437"/>
      <c r="CG12" s="438"/>
      <c r="CH12" s="84"/>
      <c r="CI12" s="436"/>
      <c r="CJ12" s="437"/>
      <c r="CK12" s="437"/>
      <c r="CL12" s="437"/>
      <c r="CM12" s="437"/>
      <c r="CN12" s="437"/>
      <c r="CO12" s="437"/>
      <c r="CP12" s="437"/>
      <c r="CQ12" s="438"/>
      <c r="CR12" s="375"/>
      <c r="CS12" s="533"/>
      <c r="CT12" s="424"/>
      <c r="CU12" s="483"/>
      <c r="CV12" s="469"/>
      <c r="CW12" s="471"/>
      <c r="CX12" s="537" t="str">
        <f>Stammdaten!$AX$26</f>
        <v>StdDisziplinen[Bewertung2]</v>
      </c>
      <c r="CY12" s="384"/>
      <c r="CZ12" s="267" t="str">
        <f>Stammdaten!$AX$33</f>
        <v>Gerundet</v>
      </c>
      <c r="DA12" s="267"/>
      <c r="DB12" s="267" t="str">
        <f>Stammdaten!$AX$30</f>
        <v>Skalawert</v>
      </c>
      <c r="DC12" s="266"/>
      <c r="DD12" s="426"/>
      <c r="DE12" s="426"/>
      <c r="DF12" s="483"/>
      <c r="DG12" s="469"/>
      <c r="DH12" s="471"/>
      <c r="DI12" s="537" t="str">
        <f>$CX$12</f>
        <v>StdDisziplinen[Bewertung2]</v>
      </c>
      <c r="DJ12" s="251"/>
      <c r="DK12" s="268" t="str">
        <f>$CZ$12</f>
        <v>Gerundet</v>
      </c>
      <c r="DL12" s="268"/>
      <c r="DM12" s="268" t="str">
        <f>$DB$12</f>
        <v>Skalawert</v>
      </c>
      <c r="DN12" s="269"/>
      <c r="DO12" s="426"/>
      <c r="DP12" s="426"/>
      <c r="DQ12" s="483"/>
      <c r="DR12" s="469"/>
      <c r="DS12" s="471"/>
      <c r="DT12" s="537" t="str">
        <f>$CX$12</f>
        <v>StdDisziplinen[Bewertung2]</v>
      </c>
      <c r="DU12" s="251"/>
      <c r="DV12" s="268" t="str">
        <f>$CZ$12</f>
        <v>Gerundet</v>
      </c>
      <c r="DW12" s="268"/>
      <c r="DX12" s="268" t="str">
        <f>$DB$12</f>
        <v>Skalawert</v>
      </c>
      <c r="DY12" s="269"/>
      <c r="DZ12" s="426"/>
      <c r="EA12" s="426"/>
      <c r="EB12" s="426"/>
      <c r="EC12" s="483"/>
      <c r="ED12" s="396"/>
      <c r="EE12" s="422"/>
      <c r="EF12" s="469"/>
      <c r="EG12" s="471"/>
      <c r="EH12" s="537" t="str">
        <f>$CX$12</f>
        <v>StdDisziplinen[Bewertung2]</v>
      </c>
      <c r="EI12" s="251"/>
      <c r="EJ12" s="268" t="str">
        <f>$CZ$12</f>
        <v>Gerundet</v>
      </c>
      <c r="EK12" s="268"/>
      <c r="EL12" s="268" t="str">
        <f>$DB$12</f>
        <v>Skalawert</v>
      </c>
      <c r="EM12" s="269"/>
      <c r="EN12" s="396"/>
      <c r="EO12" s="422"/>
      <c r="EP12" s="491"/>
      <c r="EQ12" s="492"/>
      <c r="ER12" s="492"/>
      <c r="ES12" s="493"/>
      <c r="ET12" s="396"/>
      <c r="EU12" s="422"/>
      <c r="EV12" s="491"/>
      <c r="EW12" s="492"/>
      <c r="EX12" s="492"/>
      <c r="EY12" s="492"/>
      <c r="EZ12" s="493"/>
      <c r="FA12" s="426"/>
      <c r="FB12" s="371"/>
      <c r="FC12" s="227" t="str">
        <f>INDEX(StdBS[StdNummer],$G$1)</f>
        <v>BS.1</v>
      </c>
      <c r="FD12" s="132"/>
      <c r="FE12" s="436"/>
      <c r="FF12" s="437"/>
      <c r="FG12" s="437"/>
      <c r="FH12" s="437"/>
      <c r="FI12" s="438"/>
      <c r="FJ12" s="84"/>
      <c r="FK12" s="436"/>
      <c r="FL12" s="437"/>
      <c r="FM12" s="437"/>
      <c r="FN12" s="437"/>
      <c r="FO12" s="438"/>
      <c r="FP12" s="84"/>
      <c r="FQ12" s="436"/>
      <c r="FR12" s="437"/>
      <c r="FS12" s="437"/>
      <c r="FT12" s="437"/>
      <c r="FU12" s="438"/>
      <c r="FV12" s="84"/>
      <c r="FW12" s="436"/>
      <c r="FX12" s="437"/>
      <c r="FY12" s="437"/>
      <c r="FZ12" s="437"/>
      <c r="GA12" s="438"/>
      <c r="GB12" s="84"/>
      <c r="GC12" s="436"/>
      <c r="GD12" s="437"/>
      <c r="GE12" s="437"/>
      <c r="GF12" s="437"/>
      <c r="GG12" s="438"/>
      <c r="GH12" s="84"/>
      <c r="GI12" s="436"/>
      <c r="GJ12" s="437"/>
      <c r="GK12" s="437"/>
      <c r="GL12" s="437"/>
      <c r="GM12" s="438"/>
      <c r="GN12" s="372"/>
      <c r="GO12" s="424"/>
      <c r="GP12" s="424"/>
      <c r="GQ12" s="426"/>
      <c r="GR12" s="426"/>
      <c r="GS12" s="426"/>
      <c r="GT12" s="424"/>
      <c r="GU12" s="422"/>
      <c r="GV12" s="422"/>
      <c r="GW12" s="396"/>
      <c r="GX12" s="406"/>
      <c r="GY12" s="406"/>
      <c r="GZ12" s="406"/>
      <c r="HA12" s="369" t="s">
        <v>296</v>
      </c>
      <c r="HB12" s="369" t="s">
        <v>297</v>
      </c>
      <c r="HC12" s="369" t="s">
        <v>298</v>
      </c>
      <c r="HD12" s="369" t="s">
        <v>299</v>
      </c>
      <c r="HE12" s="369" t="s">
        <v>300</v>
      </c>
      <c r="HF12" s="369" t="s">
        <v>341</v>
      </c>
      <c r="HG12" s="380" t="s">
        <v>447</v>
      </c>
      <c r="HH12" s="395" t="s">
        <v>526</v>
      </c>
      <c r="HI12" s="402" t="s">
        <v>532</v>
      </c>
      <c r="HJ12" s="403" t="s">
        <v>529</v>
      </c>
      <c r="HK12" s="404" t="str">
        <f>"2. "&amp;$HJ$12</f>
        <v>2. Max</v>
      </c>
      <c r="HL12" s="404" t="str">
        <f>$HJ$12&amp;" =?"</f>
        <v>Max =?</v>
      </c>
      <c r="HM12" s="401" t="str">
        <f>"Unterzählige "&amp;Stammdaten!$AX$20</f>
        <v>Unterzählige Disziplin</v>
      </c>
      <c r="HN12" s="401"/>
      <c r="HO12" s="401"/>
      <c r="HP12" s="401"/>
      <c r="HQ12" s="401"/>
      <c r="HR12" s="401"/>
      <c r="HS12" s="393" t="s">
        <v>343</v>
      </c>
      <c r="HT12" s="393"/>
      <c r="HU12" s="393"/>
      <c r="HV12" s="393"/>
      <c r="HW12" s="393"/>
      <c r="HX12" s="393"/>
      <c r="HY12" s="393"/>
      <c r="HZ12" s="393"/>
      <c r="IA12" s="394"/>
      <c r="IB12" s="369" t="s">
        <v>511</v>
      </c>
      <c r="IC12" s="459" t="str">
        <f>$HM$12</f>
        <v>Unterzählige Disziplin</v>
      </c>
      <c r="ID12" s="460"/>
      <c r="IE12" s="460"/>
      <c r="IF12" s="460"/>
      <c r="IG12" s="461"/>
      <c r="IH12" s="462" t="s">
        <v>344</v>
      </c>
      <c r="II12" s="393"/>
      <c r="IJ12" s="393"/>
      <c r="IK12" s="393"/>
      <c r="IL12" s="393"/>
      <c r="IM12" s="393"/>
      <c r="IN12" s="393"/>
      <c r="IO12" s="393"/>
      <c r="IP12" s="394"/>
      <c r="IQ12" s="369" t="s">
        <v>512</v>
      </c>
      <c r="IR12" s="462" t="s">
        <v>345</v>
      </c>
      <c r="IS12" s="393"/>
      <c r="IT12" s="393"/>
      <c r="IU12" s="393"/>
      <c r="IV12" s="393"/>
      <c r="IW12" s="393"/>
      <c r="IX12" s="393"/>
      <c r="IY12" s="394"/>
      <c r="IZ12" s="396"/>
      <c r="JA12" s="368"/>
      <c r="JB12" s="503"/>
      <c r="JC12" s="504"/>
      <c r="JD12" s="504"/>
      <c r="JE12" s="504"/>
      <c r="JF12" s="504"/>
      <c r="JG12" s="504"/>
      <c r="JH12" s="505"/>
      <c r="JI12" s="84"/>
      <c r="JJ12" s="436"/>
      <c r="JK12" s="437"/>
      <c r="JL12" s="437"/>
      <c r="JM12" s="437"/>
      <c r="JN12" s="437"/>
      <c r="JO12" s="437"/>
      <c r="JP12" s="437"/>
      <c r="JQ12" s="437"/>
      <c r="JR12" s="438"/>
      <c r="JS12" s="376"/>
      <c r="JT12" s="494"/>
      <c r="JU12" s="495"/>
      <c r="JV12" s="496"/>
      <c r="JW12" s="397"/>
      <c r="JX12" s="423"/>
      <c r="JY12" s="397"/>
      <c r="JZ12" s="397"/>
      <c r="KA12" s="370">
        <v>2</v>
      </c>
      <c r="KB12" s="407"/>
      <c r="KC12" s="407"/>
      <c r="KD12" s="423"/>
      <c r="KE12" s="396"/>
      <c r="KF12" s="371"/>
      <c r="KG12" s="227" t="str">
        <f>INDEX(StdBS[StdNummer],$FE$1)</f>
        <v>BS.2</v>
      </c>
      <c r="KH12" s="132"/>
      <c r="KI12" s="436"/>
      <c r="KJ12" s="437"/>
      <c r="KK12" s="437"/>
      <c r="KL12" s="437"/>
      <c r="KM12" s="437"/>
      <c r="KN12" s="437"/>
      <c r="KO12" s="437"/>
      <c r="KP12" s="437"/>
      <c r="KQ12" s="438"/>
      <c r="KR12" s="84"/>
      <c r="KS12" s="436"/>
      <c r="KT12" s="437"/>
      <c r="KU12" s="437"/>
      <c r="KV12" s="437"/>
      <c r="KW12" s="437"/>
      <c r="KX12" s="437"/>
      <c r="KY12" s="437"/>
      <c r="KZ12" s="437"/>
      <c r="LA12" s="438"/>
      <c r="LB12" s="84"/>
      <c r="LC12" s="436"/>
      <c r="LD12" s="437"/>
      <c r="LE12" s="437"/>
      <c r="LF12" s="437"/>
      <c r="LG12" s="437"/>
      <c r="LH12" s="437"/>
      <c r="LI12" s="437"/>
      <c r="LJ12" s="437"/>
      <c r="LK12" s="438"/>
      <c r="LL12" s="373"/>
      <c r="LM12" s="426"/>
      <c r="LN12" s="426"/>
      <c r="LO12" s="424"/>
      <c r="LP12" s="426"/>
      <c r="LQ12" s="426"/>
      <c r="LR12" s="369" t="s">
        <v>296</v>
      </c>
      <c r="LS12" s="369" t="s">
        <v>297</v>
      </c>
      <c r="LT12" s="369" t="s">
        <v>298</v>
      </c>
      <c r="LU12" s="433"/>
      <c r="LV12" s="434"/>
      <c r="LW12" s="434"/>
      <c r="LX12" s="434"/>
      <c r="LY12" s="434"/>
      <c r="LZ12" s="434"/>
      <c r="MA12" s="434"/>
      <c r="MB12" s="434"/>
      <c r="MC12" s="434"/>
      <c r="MD12" s="434"/>
      <c r="ME12" s="434"/>
      <c r="MF12" s="434"/>
      <c r="MG12" s="434"/>
      <c r="MH12" s="435"/>
      <c r="MI12" s="372"/>
      <c r="MJ12" s="224" t="str">
        <f>INDEX(StdBS[StdNummer],$KI$1)</f>
        <v>BS.3</v>
      </c>
      <c r="MK12" s="51"/>
      <c r="ML12" s="436"/>
      <c r="MM12" s="437"/>
      <c r="MN12" s="437"/>
      <c r="MO12" s="437"/>
      <c r="MP12" s="437"/>
      <c r="MQ12" s="437"/>
      <c r="MR12" s="437"/>
      <c r="MS12" s="437"/>
      <c r="MT12" s="438"/>
      <c r="MU12" s="84"/>
      <c r="MV12" s="436"/>
      <c r="MW12" s="437"/>
      <c r="MX12" s="437"/>
      <c r="MY12" s="437"/>
      <c r="MZ12" s="437"/>
      <c r="NA12" s="437"/>
      <c r="NB12" s="437"/>
      <c r="NC12" s="437"/>
      <c r="ND12" s="438"/>
      <c r="NE12" s="84"/>
      <c r="NF12" s="436"/>
      <c r="NG12" s="437"/>
      <c r="NH12" s="437"/>
      <c r="NI12" s="437"/>
      <c r="NJ12" s="437"/>
      <c r="NK12" s="437"/>
      <c r="NL12" s="437"/>
      <c r="NM12" s="437"/>
      <c r="NN12" s="438"/>
      <c r="NO12" s="84"/>
      <c r="NP12" s="436"/>
      <c r="NQ12" s="437"/>
      <c r="NR12" s="437"/>
      <c r="NS12" s="437"/>
      <c r="NT12" s="437"/>
      <c r="NU12" s="437"/>
      <c r="NV12" s="437"/>
      <c r="NW12" s="437"/>
      <c r="NX12" s="438"/>
      <c r="NY12" s="84"/>
      <c r="NZ12" s="436"/>
      <c r="OA12" s="437"/>
      <c r="OB12" s="437"/>
      <c r="OC12" s="437"/>
      <c r="OD12" s="437"/>
      <c r="OE12" s="437"/>
      <c r="OF12" s="437"/>
      <c r="OG12" s="437"/>
      <c r="OH12" s="438"/>
      <c r="OI12" s="372"/>
      <c r="OJ12" s="424"/>
      <c r="OK12" s="426"/>
      <c r="OL12" s="426"/>
      <c r="OM12" s="426"/>
      <c r="ON12" s="424"/>
      <c r="OO12" s="402"/>
      <c r="OP12" s="402"/>
      <c r="OQ12" s="396"/>
      <c r="OR12" s="432"/>
      <c r="OS12" s="432"/>
      <c r="OT12" s="432"/>
      <c r="OU12" s="396"/>
      <c r="OV12" s="369" t="s">
        <v>296</v>
      </c>
      <c r="OW12" s="369" t="s">
        <v>297</v>
      </c>
      <c r="OX12" s="369" t="s">
        <v>298</v>
      </c>
      <c r="OY12" s="369" t="s">
        <v>299</v>
      </c>
      <c r="OZ12" s="380" t="s">
        <v>300</v>
      </c>
      <c r="PA12" s="369" t="s">
        <v>447</v>
      </c>
      <c r="PB12" s="396"/>
      <c r="PC12" s="396"/>
      <c r="PD12" s="457"/>
      <c r="PE12" s="442"/>
      <c r="PF12" s="442"/>
      <c r="PG12" s="554"/>
      <c r="PH12" s="555"/>
      <c r="PI12" s="555"/>
      <c r="PJ12" s="555"/>
      <c r="PK12" s="555"/>
      <c r="PL12" s="556"/>
      <c r="PM12" s="560"/>
      <c r="PN12" s="561"/>
      <c r="PO12" s="561"/>
      <c r="PP12" s="561"/>
      <c r="PQ12" s="561"/>
      <c r="PR12" s="561"/>
      <c r="PS12" s="561"/>
      <c r="PT12" s="561"/>
      <c r="PU12" s="561"/>
      <c r="PV12" s="561"/>
      <c r="PW12" s="561"/>
      <c r="PX12" s="561"/>
      <c r="PY12" s="562"/>
      <c r="PZ12" s="369" t="s">
        <v>451</v>
      </c>
      <c r="QA12" s="566"/>
      <c r="QB12" s="567"/>
      <c r="QC12" s="567"/>
      <c r="QD12" s="567"/>
      <c r="QE12" s="568"/>
      <c r="QF12" s="560"/>
      <c r="QG12" s="561"/>
      <c r="QH12" s="561"/>
      <c r="QI12" s="561"/>
      <c r="QJ12" s="561"/>
      <c r="QK12" s="561"/>
      <c r="QL12" s="561"/>
      <c r="QM12" s="561"/>
      <c r="QN12" s="561"/>
      <c r="QO12" s="561"/>
      <c r="QP12" s="561"/>
      <c r="QQ12" s="561"/>
      <c r="QR12" s="562"/>
      <c r="QS12" s="369" t="s">
        <v>451</v>
      </c>
      <c r="QT12" s="450"/>
      <c r="QU12" s="451"/>
      <c r="QV12" s="451"/>
      <c r="QW12" s="451"/>
      <c r="QX12" s="451"/>
      <c r="QY12" s="451"/>
      <c r="QZ12" s="451"/>
      <c r="RA12" s="451"/>
      <c r="RB12" s="451"/>
      <c r="RC12" s="451"/>
      <c r="RD12" s="451"/>
      <c r="RE12" s="452"/>
      <c r="RF12" s="369" t="s">
        <v>296</v>
      </c>
      <c r="RG12" s="369" t="s">
        <v>297</v>
      </c>
      <c r="RH12" s="369" t="s">
        <v>298</v>
      </c>
      <c r="RI12" s="369" t="s">
        <v>299</v>
      </c>
      <c r="RJ12" s="369" t="s">
        <v>300</v>
      </c>
      <c r="RK12" s="380" t="s">
        <v>296</v>
      </c>
      <c r="RL12" s="380" t="s">
        <v>297</v>
      </c>
      <c r="RM12" s="380" t="s">
        <v>301</v>
      </c>
      <c r="RN12" s="380" t="s">
        <v>299</v>
      </c>
      <c r="RO12" s="380" t="s">
        <v>300</v>
      </c>
      <c r="RP12" s="491"/>
      <c r="RQ12" s="492"/>
      <c r="RR12" s="492"/>
      <c r="RS12" s="492"/>
      <c r="RT12" s="492"/>
      <c r="RU12" s="493"/>
      <c r="RV12" s="408"/>
      <c r="RW12" s="371"/>
      <c r="RX12" s="227" t="str">
        <f>INDEX(StdBS[StdNummer],$ML$1)</f>
        <v>BS.4</v>
      </c>
      <c r="RY12" s="373"/>
      <c r="RZ12" s="483"/>
      <c r="SA12" s="406"/>
      <c r="SB12" s="406"/>
      <c r="SC12" s="406"/>
      <c r="SD12" s="483"/>
      <c r="SE12" s="406"/>
      <c r="SF12" s="406"/>
      <c r="SG12" s="406"/>
      <c r="SH12" s="422"/>
      <c r="SI12" s="396"/>
      <c r="SJ12" s="396"/>
      <c r="SK12" s="469"/>
      <c r="SL12" s="470"/>
      <c r="SM12" s="470"/>
      <c r="SN12" s="471"/>
      <c r="SO12" s="469"/>
      <c r="SP12" s="470"/>
      <c r="SQ12" s="470"/>
      <c r="SR12" s="470"/>
      <c r="SS12" s="470"/>
      <c r="ST12" s="471"/>
      <c r="SU12" s="381"/>
      <c r="SV12" s="480"/>
      <c r="SW12" s="381"/>
      <c r="SX12" s="480"/>
      <c r="SY12" s="381"/>
      <c r="SZ12" s="480"/>
      <c r="TA12" s="381"/>
      <c r="TB12" s="480"/>
      <c r="TC12" s="373"/>
      <c r="TD12" s="426"/>
      <c r="TE12" s="372"/>
      <c r="TF12" s="475"/>
      <c r="TG12" s="215"/>
      <c r="TH12" s="523"/>
      <c r="TI12" s="524"/>
      <c r="TJ12" s="524"/>
      <c r="TK12" s="525"/>
      <c r="TL12" s="138"/>
      <c r="TM12" s="494"/>
      <c r="TN12" s="495"/>
      <c r="TO12" s="495"/>
      <c r="TP12" s="495"/>
      <c r="TQ12" s="495"/>
      <c r="TR12" s="495"/>
      <c r="TS12" s="495"/>
      <c r="TT12" s="496"/>
      <c r="TU12" s="366"/>
      <c r="TV12" s="436" t="str">
        <f>INDEX(StdDisziplinen[StdDisziplin],TV$3)</f>
        <v>12-Min.-Lauf (Halle)</v>
      </c>
      <c r="TW12" s="437"/>
      <c r="TX12" s="437"/>
      <c r="TY12" s="437"/>
      <c r="TZ12" s="438"/>
      <c r="UA12" s="84"/>
      <c r="UB12" s="436" t="str">
        <f>INDEX(StdDisziplinen[StdDisziplin],UB$3)</f>
        <v>12-Min.-Lauf (im Freien)</v>
      </c>
      <c r="UC12" s="437"/>
      <c r="UD12" s="437"/>
      <c r="UE12" s="437"/>
      <c r="UF12" s="438"/>
      <c r="UG12" s="84"/>
      <c r="UH12" s="436"/>
      <c r="UI12" s="437"/>
      <c r="UJ12" s="437"/>
      <c r="UK12" s="437"/>
      <c r="UL12" s="437"/>
      <c r="UM12" s="437"/>
      <c r="UN12" s="437"/>
      <c r="UO12" s="438"/>
      <c r="UP12" s="84"/>
      <c r="UQ12" s="436"/>
      <c r="UR12" s="437"/>
      <c r="US12" s="437"/>
      <c r="UT12" s="437"/>
      <c r="UU12" s="437"/>
      <c r="UV12" s="437"/>
      <c r="UW12" s="437"/>
      <c r="UX12" s="438"/>
      <c r="UY12" s="84"/>
      <c r="UZ12" s="436" t="str">
        <f>INDEX(StdDisziplinen[StdDisziplin],UZ$3)</f>
        <v>60-m-Lauf</v>
      </c>
      <c r="VA12" s="437"/>
      <c r="VB12" s="437"/>
      <c r="VC12" s="437"/>
      <c r="VD12" s="438"/>
      <c r="VE12" s="84"/>
      <c r="VF12" s="436" t="str">
        <f>INDEX(StdDisziplinen[StdDisziplin],VF$3)</f>
        <v>80-m-Lauf</v>
      </c>
      <c r="VG12" s="437"/>
      <c r="VH12" s="437"/>
      <c r="VI12" s="437"/>
      <c r="VJ12" s="438"/>
      <c r="VK12" s="147"/>
      <c r="VL12" s="436"/>
      <c r="VM12" s="437"/>
      <c r="VN12" s="437"/>
      <c r="VO12" s="437"/>
      <c r="VP12" s="437"/>
      <c r="VQ12" s="437"/>
      <c r="VR12" s="437"/>
      <c r="VS12" s="437"/>
      <c r="VT12" s="438"/>
      <c r="VU12" s="22"/>
    </row>
    <row r="13" spans="1:593" ht="14.4" customHeight="1" thickBot="1" x14ac:dyDescent="0.35">
      <c r="A13" s="22"/>
      <c r="B13" s="88" t="s">
        <v>28</v>
      </c>
      <c r="C13" s="589"/>
      <c r="D13" s="27"/>
      <c r="E13" s="46" t="s">
        <v>108</v>
      </c>
      <c r="F13" s="28"/>
      <c r="G13" s="182" t="s">
        <v>152</v>
      </c>
      <c r="H13" s="183"/>
      <c r="I13" s="183"/>
      <c r="J13" s="183"/>
      <c r="K13" s="183"/>
      <c r="L13" s="183"/>
      <c r="M13" s="183"/>
      <c r="N13" s="183"/>
      <c r="O13" s="183"/>
      <c r="P13" s="92"/>
      <c r="Q13" s="182" t="str">
        <f>$G$13</f>
        <v>Effektiv erzieltes Resultat eintragen:</v>
      </c>
      <c r="R13" s="183"/>
      <c r="S13" s="183"/>
      <c r="T13" s="183"/>
      <c r="U13" s="183"/>
      <c r="V13" s="183"/>
      <c r="W13" s="183"/>
      <c r="X13" s="183"/>
      <c r="Y13" s="183"/>
      <c r="Z13" s="92"/>
      <c r="AA13" s="182" t="str">
        <f>$G$13</f>
        <v>Effektiv erzieltes Resultat eintragen:</v>
      </c>
      <c r="AB13" s="183"/>
      <c r="AC13" s="183"/>
      <c r="AD13" s="183"/>
      <c r="AE13" s="183"/>
      <c r="AF13" s="183"/>
      <c r="AG13" s="183"/>
      <c r="AH13" s="183"/>
      <c r="AI13" s="183"/>
      <c r="AJ13" s="92"/>
      <c r="AK13" s="182" t="str">
        <f>$G$13</f>
        <v>Effektiv erzieltes Resultat eintragen:</v>
      </c>
      <c r="AL13" s="183"/>
      <c r="AM13" s="183"/>
      <c r="AN13" s="183"/>
      <c r="AO13" s="183"/>
      <c r="AP13" s="183"/>
      <c r="AQ13" s="183"/>
      <c r="AR13" s="183"/>
      <c r="AS13" s="183"/>
      <c r="AT13" s="92"/>
      <c r="AU13" s="182" t="str">
        <f>$G$13</f>
        <v>Effektiv erzieltes Resultat eintragen:</v>
      </c>
      <c r="AV13" s="183"/>
      <c r="AW13" s="183"/>
      <c r="AX13" s="183"/>
      <c r="AY13" s="183"/>
      <c r="AZ13" s="183"/>
      <c r="BA13" s="183"/>
      <c r="BB13" s="183"/>
      <c r="BC13" s="183"/>
      <c r="BD13" s="92"/>
      <c r="BE13" s="182" t="str">
        <f>$G$13</f>
        <v>Effektiv erzieltes Resultat eintragen:</v>
      </c>
      <c r="BF13" s="183"/>
      <c r="BG13" s="183"/>
      <c r="BH13" s="183"/>
      <c r="BI13" s="183"/>
      <c r="BJ13" s="183"/>
      <c r="BK13" s="183"/>
      <c r="BL13" s="183"/>
      <c r="BM13" s="183"/>
      <c r="BN13" s="92"/>
      <c r="BO13" s="182" t="str">
        <f>$G$13</f>
        <v>Effektiv erzieltes Resultat eintragen:</v>
      </c>
      <c r="BP13" s="183"/>
      <c r="BQ13" s="183"/>
      <c r="BR13" s="183"/>
      <c r="BS13" s="183"/>
      <c r="BT13" s="183"/>
      <c r="BU13" s="183"/>
      <c r="BV13" s="183"/>
      <c r="BW13" s="183"/>
      <c r="BX13" s="92"/>
      <c r="BY13" s="182" t="str">
        <f>$G$13</f>
        <v>Effektiv erzieltes Resultat eintragen:</v>
      </c>
      <c r="BZ13" s="183"/>
      <c r="CA13" s="183"/>
      <c r="CB13" s="183"/>
      <c r="CC13" s="183"/>
      <c r="CD13" s="183"/>
      <c r="CE13" s="183"/>
      <c r="CF13" s="183"/>
      <c r="CG13" s="183"/>
      <c r="CH13" s="92"/>
      <c r="CI13" s="182" t="str">
        <f>$G$13</f>
        <v>Effektiv erzieltes Resultat eintragen:</v>
      </c>
      <c r="CJ13" s="183"/>
      <c r="CK13" s="183"/>
      <c r="CL13" s="183"/>
      <c r="CM13" s="183"/>
      <c r="CN13" s="183"/>
      <c r="CO13" s="183"/>
      <c r="CP13" s="183"/>
      <c r="CQ13" s="183"/>
      <c r="CR13" s="184"/>
      <c r="CS13" s="534"/>
      <c r="CT13" s="425"/>
      <c r="CU13" s="484"/>
      <c r="CV13" s="450"/>
      <c r="CW13" s="452"/>
      <c r="CX13" s="538"/>
      <c r="CY13" s="385"/>
      <c r="CZ13" s="385" t="str">
        <f>Stammdaten!$AX$34</f>
        <v>[Rundung]</v>
      </c>
      <c r="DA13" s="385"/>
      <c r="DB13" s="385" t="str">
        <f>Stammdaten!$AX$31</f>
        <v>[@[Skala-Wert]]</v>
      </c>
      <c r="DC13" s="385"/>
      <c r="DD13" s="427"/>
      <c r="DE13" s="427"/>
      <c r="DF13" s="484"/>
      <c r="DG13" s="450"/>
      <c r="DH13" s="452"/>
      <c r="DI13" s="538"/>
      <c r="DJ13" s="385"/>
      <c r="DK13" s="385" t="str">
        <f>$CZ$13</f>
        <v>[Rundung]</v>
      </c>
      <c r="DL13" s="385"/>
      <c r="DM13" s="385" t="str">
        <f>$DB$13</f>
        <v>[@[Skala-Wert]]</v>
      </c>
      <c r="DN13" s="385"/>
      <c r="DO13" s="427"/>
      <c r="DP13" s="427"/>
      <c r="DQ13" s="484"/>
      <c r="DR13" s="450"/>
      <c r="DS13" s="452"/>
      <c r="DT13" s="538"/>
      <c r="DU13" s="385"/>
      <c r="DV13" s="385" t="str">
        <f>$CZ$13</f>
        <v>[Rundung]</v>
      </c>
      <c r="DW13" s="385"/>
      <c r="DX13" s="385" t="str">
        <f>$DB$13</f>
        <v>[@[Skala-Wert]]</v>
      </c>
      <c r="DY13" s="385"/>
      <c r="DZ13" s="427"/>
      <c r="EA13" s="427"/>
      <c r="EB13" s="427"/>
      <c r="EC13" s="484"/>
      <c r="ED13" s="397"/>
      <c r="EE13" s="423"/>
      <c r="EF13" s="450"/>
      <c r="EG13" s="452"/>
      <c r="EH13" s="538"/>
      <c r="EI13" s="385"/>
      <c r="EJ13" s="385" t="str">
        <f>$CZ$13</f>
        <v>[Rundung]</v>
      </c>
      <c r="EK13" s="385"/>
      <c r="EL13" s="385" t="str">
        <f>$DB$13</f>
        <v>[@[Skala-Wert]]</v>
      </c>
      <c r="EM13" s="385"/>
      <c r="EN13" s="397"/>
      <c r="EO13" s="423"/>
      <c r="EP13" s="494"/>
      <c r="EQ13" s="495"/>
      <c r="ER13" s="495"/>
      <c r="ES13" s="496"/>
      <c r="ET13" s="397"/>
      <c r="EU13" s="423"/>
      <c r="EV13" s="494"/>
      <c r="EW13" s="495"/>
      <c r="EX13" s="495"/>
      <c r="EY13" s="495"/>
      <c r="EZ13" s="496"/>
      <c r="FA13" s="427"/>
      <c r="FB13" s="49"/>
      <c r="FC13" s="226"/>
      <c r="FD13" s="92"/>
      <c r="FE13" s="182" t="str">
        <f>$G$13</f>
        <v>Effektiv erzieltes Resultat eintragen:</v>
      </c>
      <c r="FF13" s="183"/>
      <c r="FG13" s="183"/>
      <c r="FH13" s="183"/>
      <c r="FI13" s="183"/>
      <c r="FJ13" s="92"/>
      <c r="FK13" s="182" t="str">
        <f>$G$13</f>
        <v>Effektiv erzieltes Resultat eintragen:</v>
      </c>
      <c r="FL13" s="183"/>
      <c r="FM13" s="183"/>
      <c r="FN13" s="183"/>
      <c r="FO13" s="183"/>
      <c r="FP13" s="92"/>
      <c r="FQ13" s="182" t="str">
        <f>$G$13</f>
        <v>Effektiv erzieltes Resultat eintragen:</v>
      </c>
      <c r="FR13" s="183"/>
      <c r="FS13" s="183"/>
      <c r="FT13" s="183"/>
      <c r="FU13" s="183"/>
      <c r="FV13" s="92"/>
      <c r="FW13" s="182" t="str">
        <f>$G$13</f>
        <v>Effektiv erzieltes Resultat eintragen:</v>
      </c>
      <c r="FX13" s="183"/>
      <c r="FY13" s="183"/>
      <c r="FZ13" s="183"/>
      <c r="GA13" s="183"/>
      <c r="GB13" s="92"/>
      <c r="GC13" s="182" t="str">
        <f>$G$13</f>
        <v>Effektiv erzieltes Resultat eintragen:</v>
      </c>
      <c r="GD13" s="183"/>
      <c r="GE13" s="183"/>
      <c r="GF13" s="183"/>
      <c r="GG13" s="183"/>
      <c r="GH13" s="92"/>
      <c r="GI13" s="182" t="str">
        <f>$G$13</f>
        <v>Effektiv erzieltes Resultat eintragen:</v>
      </c>
      <c r="GJ13" s="183"/>
      <c r="GK13" s="183"/>
      <c r="GL13" s="183"/>
      <c r="GM13" s="183"/>
      <c r="GN13" s="184"/>
      <c r="GO13" s="425"/>
      <c r="GP13" s="425"/>
      <c r="GQ13" s="427"/>
      <c r="GR13" s="427"/>
      <c r="GS13" s="427"/>
      <c r="GT13" s="425"/>
      <c r="GU13" s="423"/>
      <c r="GV13" s="423"/>
      <c r="GW13" s="367">
        <f>$IZ$4</f>
        <v>3</v>
      </c>
      <c r="GX13" s="407"/>
      <c r="GY13" s="407"/>
      <c r="GZ13" s="407"/>
      <c r="HA13" s="370" t="s">
        <v>302</v>
      </c>
      <c r="HB13" s="370" t="s">
        <v>302</v>
      </c>
      <c r="HC13" s="370" t="s">
        <v>302</v>
      </c>
      <c r="HD13" s="370" t="s">
        <v>302</v>
      </c>
      <c r="HE13" s="370" t="s">
        <v>302</v>
      </c>
      <c r="HF13" s="370" t="s">
        <v>302</v>
      </c>
      <c r="HG13" s="382" t="str">
        <f>Stammdaten!$AX$20</f>
        <v>Disziplin</v>
      </c>
      <c r="HH13" s="396"/>
      <c r="HI13" s="402"/>
      <c r="HJ13" s="403"/>
      <c r="HK13" s="404"/>
      <c r="HL13" s="404"/>
      <c r="HM13" s="401">
        <f>$HG$14</f>
        <v>1</v>
      </c>
      <c r="HN13" s="401"/>
      <c r="HO13" s="401"/>
      <c r="HP13" s="401"/>
      <c r="HQ13" s="401"/>
      <c r="HR13" s="401"/>
      <c r="HS13" s="388"/>
      <c r="HT13" s="381"/>
      <c r="HU13" s="398" t="s">
        <v>449</v>
      </c>
      <c r="HV13" s="399"/>
      <c r="HW13" s="399"/>
      <c r="HX13" s="400"/>
      <c r="HY13" s="447" t="s">
        <v>346</v>
      </c>
      <c r="HZ13" s="448"/>
      <c r="IA13" s="449"/>
      <c r="IB13" s="370" t="str">
        <f>Stammdaten!$AX$20</f>
        <v>Disziplin</v>
      </c>
      <c r="IC13" s="401">
        <f>$IB$14</f>
        <v>2</v>
      </c>
      <c r="ID13" s="401"/>
      <c r="IE13" s="401"/>
      <c r="IF13" s="401"/>
      <c r="IG13" s="401"/>
      <c r="IH13" s="364"/>
      <c r="II13" s="379"/>
      <c r="IJ13" s="398" t="str">
        <f>$HU$13</f>
        <v>Texte Wertespalten</v>
      </c>
      <c r="IK13" s="399"/>
      <c r="IL13" s="399"/>
      <c r="IM13" s="400"/>
      <c r="IN13" s="398" t="str">
        <f>$HY$13</f>
        <v>Höchstwert pro Stufe</v>
      </c>
      <c r="IO13" s="399"/>
      <c r="IP13" s="400"/>
      <c r="IQ13" s="370" t="str">
        <f>Stammdaten!$AX$20</f>
        <v>Disziplin</v>
      </c>
      <c r="IR13" s="365"/>
      <c r="IS13" s="398" t="str">
        <f>$HU$13</f>
        <v>Texte Wertespalten</v>
      </c>
      <c r="IT13" s="399"/>
      <c r="IU13" s="399"/>
      <c r="IV13" s="399"/>
      <c r="IW13" s="398" t="str">
        <f>$HY$13</f>
        <v>Höchstwert pro Stufe</v>
      </c>
      <c r="IX13" s="399"/>
      <c r="IY13" s="400"/>
      <c r="IZ13" s="397"/>
      <c r="JA13" s="368"/>
      <c r="JB13" s="506"/>
      <c r="JC13" s="507"/>
      <c r="JD13" s="507"/>
      <c r="JE13" s="507"/>
      <c r="JF13" s="507"/>
      <c r="JG13" s="507"/>
      <c r="JH13" s="508"/>
      <c r="JI13" s="92"/>
      <c r="JJ13" s="182" t="str">
        <f>$G$13</f>
        <v>Effektiv erzieltes Resultat eintragen:</v>
      </c>
      <c r="JK13" s="183"/>
      <c r="JL13" s="183"/>
      <c r="JM13" s="183"/>
      <c r="JN13" s="183"/>
      <c r="JO13" s="183"/>
      <c r="JP13" s="183"/>
      <c r="JQ13" s="183"/>
      <c r="JR13" s="183"/>
      <c r="JS13" s="377"/>
      <c r="JT13" s="444" t="str">
        <f>$HY$13</f>
        <v>Höchstwert pro Stufe</v>
      </c>
      <c r="JU13" s="445"/>
      <c r="JV13" s="446"/>
      <c r="JW13" s="377"/>
      <c r="JX13" s="377"/>
      <c r="JY13" s="210"/>
      <c r="JZ13" s="210"/>
      <c r="KA13" s="210"/>
      <c r="KB13" s="211"/>
      <c r="KC13" s="211"/>
      <c r="KD13" s="212"/>
      <c r="KE13" s="397"/>
      <c r="KF13" s="49"/>
      <c r="KG13" s="226"/>
      <c r="KH13" s="92"/>
      <c r="KI13" s="182" t="str">
        <f>$G$13</f>
        <v>Effektiv erzieltes Resultat eintragen:</v>
      </c>
      <c r="KJ13" s="183"/>
      <c r="KK13" s="183"/>
      <c r="KL13" s="183"/>
      <c r="KM13" s="183"/>
      <c r="KN13" s="183"/>
      <c r="KO13" s="183"/>
      <c r="KP13" s="183"/>
      <c r="KQ13" s="183"/>
      <c r="KR13" s="92"/>
      <c r="KS13" s="182" t="str">
        <f>$G$13</f>
        <v>Effektiv erzieltes Resultat eintragen:</v>
      </c>
      <c r="KT13" s="183"/>
      <c r="KU13" s="183"/>
      <c r="KV13" s="183"/>
      <c r="KW13" s="183"/>
      <c r="KX13" s="183"/>
      <c r="KY13" s="183"/>
      <c r="KZ13" s="183"/>
      <c r="LA13" s="183"/>
      <c r="LB13" s="92"/>
      <c r="LC13" s="182" t="str">
        <f>$G$13</f>
        <v>Effektiv erzieltes Resultat eintragen:</v>
      </c>
      <c r="LD13" s="183"/>
      <c r="LE13" s="183"/>
      <c r="LF13" s="183"/>
      <c r="LG13" s="183"/>
      <c r="LH13" s="183"/>
      <c r="LI13" s="183"/>
      <c r="LJ13" s="183"/>
      <c r="LK13" s="183"/>
      <c r="LL13" s="50"/>
      <c r="LM13" s="427"/>
      <c r="LN13" s="427"/>
      <c r="LO13" s="425"/>
      <c r="LP13" s="427"/>
      <c r="LQ13" s="427"/>
      <c r="LR13" s="370" t="s">
        <v>302</v>
      </c>
      <c r="LS13" s="370" t="s">
        <v>302</v>
      </c>
      <c r="LT13" s="370" t="s">
        <v>302</v>
      </c>
      <c r="LU13" s="436"/>
      <c r="LV13" s="437"/>
      <c r="LW13" s="437"/>
      <c r="LX13" s="437"/>
      <c r="LY13" s="437"/>
      <c r="LZ13" s="437"/>
      <c r="MA13" s="437"/>
      <c r="MB13" s="437"/>
      <c r="MC13" s="437"/>
      <c r="MD13" s="437"/>
      <c r="ME13" s="437"/>
      <c r="MF13" s="437"/>
      <c r="MG13" s="437"/>
      <c r="MH13" s="438"/>
      <c r="MI13" s="372"/>
      <c r="MJ13" s="230"/>
      <c r="MK13" s="92"/>
      <c r="ML13" s="185" t="str">
        <f>$G$13</f>
        <v>Effektiv erzieltes Resultat eintragen:</v>
      </c>
      <c r="MM13" s="183"/>
      <c r="MN13" s="183"/>
      <c r="MO13" s="183"/>
      <c r="MP13" s="183"/>
      <c r="MQ13" s="183"/>
      <c r="MR13" s="183"/>
      <c r="MS13" s="183"/>
      <c r="MT13" s="183"/>
      <c r="MU13" s="92"/>
      <c r="MV13" s="182" t="str">
        <f>$G$13</f>
        <v>Effektiv erzieltes Resultat eintragen:</v>
      </c>
      <c r="MW13" s="183"/>
      <c r="MX13" s="183"/>
      <c r="MY13" s="183"/>
      <c r="MZ13" s="183"/>
      <c r="NA13" s="183"/>
      <c r="NB13" s="183"/>
      <c r="NC13" s="183"/>
      <c r="ND13" s="183"/>
      <c r="NE13" s="92"/>
      <c r="NF13" s="182" t="str">
        <f>$G$13</f>
        <v>Effektiv erzieltes Resultat eintragen:</v>
      </c>
      <c r="NG13" s="183"/>
      <c r="NH13" s="183"/>
      <c r="NI13" s="183"/>
      <c r="NJ13" s="183"/>
      <c r="NK13" s="183"/>
      <c r="NL13" s="183"/>
      <c r="NM13" s="183"/>
      <c r="NN13" s="183"/>
      <c r="NO13" s="92"/>
      <c r="NP13" s="182" t="str">
        <f>$G$13</f>
        <v>Effektiv erzieltes Resultat eintragen:</v>
      </c>
      <c r="NQ13" s="183"/>
      <c r="NR13" s="183"/>
      <c r="NS13" s="183"/>
      <c r="NT13" s="183"/>
      <c r="NU13" s="183"/>
      <c r="NV13" s="183"/>
      <c r="NW13" s="183"/>
      <c r="NX13" s="183"/>
      <c r="NY13" s="92"/>
      <c r="NZ13" s="182" t="str">
        <f>$G$13</f>
        <v>Effektiv erzieltes Resultat eintragen:</v>
      </c>
      <c r="OA13" s="183"/>
      <c r="OB13" s="183"/>
      <c r="OC13" s="183"/>
      <c r="OD13" s="183"/>
      <c r="OE13" s="183"/>
      <c r="OF13" s="183"/>
      <c r="OG13" s="183"/>
      <c r="OH13" s="183"/>
      <c r="OI13" s="184"/>
      <c r="OJ13" s="425"/>
      <c r="OK13" s="427"/>
      <c r="OL13" s="427"/>
      <c r="OM13" s="427"/>
      <c r="ON13" s="425"/>
      <c r="OO13" s="402"/>
      <c r="OP13" s="402"/>
      <c r="OQ13" s="370">
        <f>$RV$4</f>
        <v>3</v>
      </c>
      <c r="OR13" s="432"/>
      <c r="OS13" s="432"/>
      <c r="OT13" s="432"/>
      <c r="OU13" s="397"/>
      <c r="OV13" s="370" t="s">
        <v>302</v>
      </c>
      <c r="OW13" s="370" t="s">
        <v>302</v>
      </c>
      <c r="OX13" s="370" t="s">
        <v>302</v>
      </c>
      <c r="OY13" s="370" t="s">
        <v>302</v>
      </c>
      <c r="OZ13" s="382" t="s">
        <v>302</v>
      </c>
      <c r="PA13" s="370" t="str">
        <f>Stammdaten!$AX$20</f>
        <v>Disziplin</v>
      </c>
      <c r="PB13" s="396"/>
      <c r="PC13" s="396"/>
      <c r="PD13" s="457"/>
      <c r="PE13" s="442"/>
      <c r="PF13" s="442"/>
      <c r="PG13" s="401">
        <f>$PA$14</f>
        <v>1</v>
      </c>
      <c r="PH13" s="401"/>
      <c r="PI13" s="401"/>
      <c r="PJ13" s="401"/>
      <c r="PK13" s="401"/>
      <c r="PL13" s="401"/>
      <c r="PM13" s="387"/>
      <c r="PN13" s="381"/>
      <c r="PO13" s="447" t="str">
        <f>$HU$13</f>
        <v>Texte Wertespalten</v>
      </c>
      <c r="PP13" s="448"/>
      <c r="PQ13" s="448"/>
      <c r="PR13" s="448"/>
      <c r="PS13" s="448"/>
      <c r="PT13" s="448"/>
      <c r="PU13" s="448"/>
      <c r="PV13" s="449"/>
      <c r="PW13" s="447" t="str">
        <f>$HY$13</f>
        <v>Höchstwert pro Stufe</v>
      </c>
      <c r="PX13" s="448"/>
      <c r="PY13" s="449"/>
      <c r="PZ13" s="370" t="str">
        <f>Stammdaten!$AX$20</f>
        <v>Disziplin</v>
      </c>
      <c r="QA13" s="401">
        <f>$PZ$14</f>
        <v>2</v>
      </c>
      <c r="QB13" s="401"/>
      <c r="QC13" s="401"/>
      <c r="QD13" s="401"/>
      <c r="QE13" s="401"/>
      <c r="QF13" s="364"/>
      <c r="QG13" s="379"/>
      <c r="QH13" s="398" t="str">
        <f>$HU$13</f>
        <v>Texte Wertespalten</v>
      </c>
      <c r="QI13" s="399"/>
      <c r="QJ13" s="399"/>
      <c r="QK13" s="399"/>
      <c r="QL13" s="399"/>
      <c r="QM13" s="399"/>
      <c r="QN13" s="399"/>
      <c r="QO13" s="400"/>
      <c r="QP13" s="398" t="str">
        <f>$HY$13</f>
        <v>Höchstwert pro Stufe</v>
      </c>
      <c r="QQ13" s="399"/>
      <c r="QR13" s="400"/>
      <c r="QS13" s="370" t="str">
        <f>Stammdaten!$AX$20</f>
        <v>Disziplin</v>
      </c>
      <c r="QT13" s="365"/>
      <c r="QU13" s="398" t="str">
        <f>$HU$13</f>
        <v>Texte Wertespalten</v>
      </c>
      <c r="QV13" s="399"/>
      <c r="QW13" s="399"/>
      <c r="QX13" s="399"/>
      <c r="QY13" s="399"/>
      <c r="QZ13" s="399"/>
      <c r="RA13" s="399"/>
      <c r="RB13" s="400"/>
      <c r="RC13" s="398" t="str">
        <f>$IN$13</f>
        <v>Höchstwert pro Stufe</v>
      </c>
      <c r="RD13" s="399"/>
      <c r="RE13" s="400"/>
      <c r="RF13" s="370" t="s">
        <v>302</v>
      </c>
      <c r="RG13" s="370" t="s">
        <v>302</v>
      </c>
      <c r="RH13" s="370" t="s">
        <v>302</v>
      </c>
      <c r="RI13" s="370" t="s">
        <v>302</v>
      </c>
      <c r="RJ13" s="370" t="s">
        <v>302</v>
      </c>
      <c r="RK13" s="382"/>
      <c r="RL13" s="382"/>
      <c r="RM13" s="382"/>
      <c r="RN13" s="382"/>
      <c r="RO13" s="382"/>
      <c r="RP13" s="494"/>
      <c r="RQ13" s="495"/>
      <c r="RR13" s="495"/>
      <c r="RS13" s="495"/>
      <c r="RT13" s="495"/>
      <c r="RU13" s="496"/>
      <c r="RV13" s="409"/>
      <c r="RW13" s="49"/>
      <c r="RX13" s="226"/>
      <c r="RY13" s="50"/>
      <c r="RZ13" s="484"/>
      <c r="SA13" s="407"/>
      <c r="SB13" s="407"/>
      <c r="SC13" s="407"/>
      <c r="SD13" s="484"/>
      <c r="SE13" s="407"/>
      <c r="SF13" s="407"/>
      <c r="SG13" s="407"/>
      <c r="SH13" s="423"/>
      <c r="SI13" s="397"/>
      <c r="SJ13" s="383">
        <f>$TF$4</f>
        <v>4</v>
      </c>
      <c r="SK13" s="450"/>
      <c r="SL13" s="451"/>
      <c r="SM13" s="451"/>
      <c r="SN13" s="452"/>
      <c r="SO13" s="450"/>
      <c r="SP13" s="451"/>
      <c r="SQ13" s="451"/>
      <c r="SR13" s="451"/>
      <c r="SS13" s="451"/>
      <c r="ST13" s="452"/>
      <c r="SU13" s="381"/>
      <c r="SV13" s="481"/>
      <c r="SW13" s="381"/>
      <c r="SX13" s="481"/>
      <c r="SY13" s="381"/>
      <c r="SZ13" s="481"/>
      <c r="TA13" s="381"/>
      <c r="TB13" s="481"/>
      <c r="TC13" s="50"/>
      <c r="TD13" s="427"/>
      <c r="TE13" s="92"/>
      <c r="TF13" s="476"/>
      <c r="TG13" s="232"/>
      <c r="TH13" s="159" t="str">
        <f>Stammdaten!$AX$20&amp;" eintragen"</f>
        <v>Disziplin eintragen</v>
      </c>
      <c r="TI13" s="134"/>
      <c r="TJ13" s="134"/>
      <c r="TK13" s="159" t="s">
        <v>164</v>
      </c>
      <c r="TL13" s="92"/>
      <c r="TM13" s="182" t="str">
        <f>$G$13</f>
        <v>Effektiv erzieltes Resultat eintragen:</v>
      </c>
      <c r="TN13" s="150"/>
      <c r="TO13" s="183"/>
      <c r="TP13" s="150"/>
      <c r="TQ13" s="150"/>
      <c r="TR13" s="150"/>
      <c r="TS13" s="150"/>
      <c r="TT13" s="150"/>
      <c r="TU13" s="92"/>
      <c r="TV13" s="186" t="s">
        <v>162</v>
      </c>
      <c r="TW13" s="140"/>
      <c r="TX13" s="140"/>
      <c r="TY13" s="140"/>
      <c r="TZ13" s="140"/>
      <c r="UA13" s="92"/>
      <c r="UB13" s="186" t="str">
        <f>$TV$13</f>
        <v>Resultat/Note werden von BS 1 übernommen</v>
      </c>
      <c r="UC13" s="187"/>
      <c r="UD13" s="187"/>
      <c r="UE13" s="187"/>
      <c r="UF13" s="187"/>
      <c r="UG13" s="92"/>
      <c r="UH13" s="182" t="str">
        <f>$G$13</f>
        <v>Effektiv erzieltes Resultat eintragen:</v>
      </c>
      <c r="UI13" s="183"/>
      <c r="UJ13" s="183"/>
      <c r="UK13" s="183"/>
      <c r="UL13" s="183"/>
      <c r="UM13" s="183"/>
      <c r="UN13" s="183"/>
      <c r="UO13" s="183"/>
      <c r="UP13" s="92"/>
      <c r="UQ13" s="182" t="str">
        <f>$G$13</f>
        <v>Effektiv erzieltes Resultat eintragen:</v>
      </c>
      <c r="UR13" s="183"/>
      <c r="US13" s="183"/>
      <c r="UT13" s="183"/>
      <c r="UU13" s="183"/>
      <c r="UV13" s="183"/>
      <c r="UW13" s="183"/>
      <c r="UX13" s="183"/>
      <c r="UY13" s="92"/>
      <c r="UZ13" s="186" t="str">
        <f>$TV$13</f>
        <v>Resultat/Note werden von BS 1 übernommen</v>
      </c>
      <c r="VA13" s="140"/>
      <c r="VB13" s="140"/>
      <c r="VC13" s="140"/>
      <c r="VD13" s="140"/>
      <c r="VE13" s="92"/>
      <c r="VF13" s="186" t="str">
        <f>$TV$13</f>
        <v>Resultat/Note werden von BS 1 übernommen</v>
      </c>
      <c r="VG13" s="140"/>
      <c r="VH13" s="140"/>
      <c r="VI13" s="140"/>
      <c r="VJ13" s="140"/>
      <c r="VK13" s="92"/>
      <c r="VL13" s="182" t="str">
        <f>$G$13</f>
        <v>Effektiv erzieltes Resultat eintragen:</v>
      </c>
      <c r="VM13" s="183"/>
      <c r="VN13" s="183"/>
      <c r="VO13" s="183"/>
      <c r="VP13" s="183"/>
      <c r="VQ13" s="183"/>
      <c r="VR13" s="183"/>
      <c r="VS13" s="183"/>
      <c r="VT13" s="183"/>
      <c r="VU13" s="22"/>
    </row>
    <row r="14" spans="1:593" s="38" customFormat="1" ht="14.4" customHeight="1" x14ac:dyDescent="0.3">
      <c r="A14" s="34"/>
      <c r="B14" s="89" t="s">
        <v>107</v>
      </c>
      <c r="C14" s="590"/>
      <c r="E14" s="152" t="s">
        <v>115</v>
      </c>
      <c r="G14" s="419" t="str">
        <f>INDEX(StdDisziplinen[Resultatform],G$3)</f>
        <v>Sekunden, gerundet auf Hundertstelsekunden</v>
      </c>
      <c r="H14" s="419"/>
      <c r="I14" s="419"/>
      <c r="J14" s="419"/>
      <c r="K14" s="419"/>
      <c r="L14" s="419"/>
      <c r="M14" s="419"/>
      <c r="N14" s="419"/>
      <c r="O14" s="419"/>
      <c r="P14" s="39"/>
      <c r="Q14" s="419" t="str">
        <f>INDEX(StdDisziplinen[Resultatform],Q$3)</f>
        <v>Sekunden, gerundet auf Hundertstelsekunden</v>
      </c>
      <c r="R14" s="419"/>
      <c r="S14" s="419"/>
      <c r="T14" s="419"/>
      <c r="U14" s="419"/>
      <c r="V14" s="419"/>
      <c r="W14" s="419"/>
      <c r="X14" s="419"/>
      <c r="Y14" s="419"/>
      <c r="Z14" s="39"/>
      <c r="AA14" s="419" t="str">
        <f>INDEX(StdDisziplinen[Resultatform],AA$3)</f>
        <v>Anzahl Runden, gerundet auf halbe Runden</v>
      </c>
      <c r="AB14" s="419"/>
      <c r="AC14" s="419"/>
      <c r="AD14" s="419"/>
      <c r="AE14" s="419"/>
      <c r="AF14" s="419"/>
      <c r="AG14" s="419"/>
      <c r="AH14" s="419"/>
      <c r="AI14" s="419"/>
      <c r="AJ14" s="39"/>
      <c r="AK14" s="419" t="str">
        <f>INDEX(StdDisziplinen[Resultatform],AK$3)</f>
        <v>Meter, gerundet auf ganze Zahl</v>
      </c>
      <c r="AL14" s="419"/>
      <c r="AM14" s="419"/>
      <c r="AN14" s="419"/>
      <c r="AO14" s="419"/>
      <c r="AP14" s="419"/>
      <c r="AQ14" s="419"/>
      <c r="AR14" s="419"/>
      <c r="AS14" s="419"/>
      <c r="AT14" s="39"/>
      <c r="AU14" s="419" t="str">
        <f>INDEX(StdDisziplinen[Resultatform],AU$3)</f>
        <v>Zentimeter, gerundet auf ganze Zahl</v>
      </c>
      <c r="AV14" s="419"/>
      <c r="AW14" s="419"/>
      <c r="AX14" s="419"/>
      <c r="AY14" s="419"/>
      <c r="AZ14" s="419"/>
      <c r="BA14" s="419"/>
      <c r="BB14" s="419"/>
      <c r="BC14" s="419"/>
      <c r="BD14" s="39"/>
      <c r="BE14" s="419" t="str">
        <f>INDEX(StdDisziplinen[Resultatform],BE$3)</f>
        <v>Zentimeter, gerundet auf ganze Zahl</v>
      </c>
      <c r="BF14" s="419"/>
      <c r="BG14" s="419"/>
      <c r="BH14" s="419"/>
      <c r="BI14" s="419"/>
      <c r="BJ14" s="419"/>
      <c r="BK14" s="419"/>
      <c r="BL14" s="419"/>
      <c r="BM14" s="419"/>
      <c r="BN14" s="39"/>
      <c r="BO14" s="419" t="str">
        <f>INDEX(StdDisziplinen[Resultatform],BO$3)</f>
        <v>Meter, gerundet auf zwei Stellen</v>
      </c>
      <c r="BP14" s="419"/>
      <c r="BQ14" s="419"/>
      <c r="BR14" s="419"/>
      <c r="BS14" s="419"/>
      <c r="BT14" s="419"/>
      <c r="BU14" s="419"/>
      <c r="BV14" s="419"/>
      <c r="BW14" s="419"/>
      <c r="BX14" s="39"/>
      <c r="BY14" s="419" t="str">
        <f>INDEX(StdDisziplinen[Resultatform],BY$3)</f>
        <v>Meter, gerundet auf zwei Stellen</v>
      </c>
      <c r="BZ14" s="419"/>
      <c r="CA14" s="419"/>
      <c r="CB14" s="419"/>
      <c r="CC14" s="419"/>
      <c r="CD14" s="419"/>
      <c r="CE14" s="419"/>
      <c r="CF14" s="419"/>
      <c r="CG14" s="419"/>
      <c r="CH14" s="39"/>
      <c r="CI14" s="419" t="str">
        <f>INDEX(StdDisziplinen[Resultatform],CI$3)</f>
        <v>Meter, gerundet auf zwei Stellen</v>
      </c>
      <c r="CJ14" s="419"/>
      <c r="CK14" s="419"/>
      <c r="CL14" s="419"/>
      <c r="CM14" s="419"/>
      <c r="CN14" s="419"/>
      <c r="CO14" s="419"/>
      <c r="CP14" s="419"/>
      <c r="CQ14" s="419"/>
      <c r="CR14" s="390"/>
      <c r="CS14" s="39"/>
      <c r="CT14" s="39"/>
      <c r="CU14" s="39"/>
      <c r="CV14" s="39"/>
      <c r="CW14" s="39"/>
      <c r="CX14" s="67"/>
      <c r="CY14" s="67"/>
      <c r="CZ14" s="67"/>
      <c r="DA14" s="67"/>
      <c r="DB14" s="67"/>
      <c r="DC14" s="67"/>
      <c r="DD14" s="39"/>
      <c r="DE14" s="39"/>
      <c r="DF14" s="39"/>
      <c r="DG14" s="39"/>
      <c r="DH14" s="39"/>
      <c r="DI14" s="67"/>
      <c r="DJ14" s="67"/>
      <c r="DK14" s="67"/>
      <c r="DL14" s="67"/>
      <c r="DM14" s="67"/>
      <c r="DN14" s="67"/>
      <c r="DO14" s="39"/>
      <c r="DP14" s="39"/>
      <c r="DQ14" s="39"/>
      <c r="DR14" s="39"/>
      <c r="DS14" s="39"/>
      <c r="DT14" s="67"/>
      <c r="DU14" s="67"/>
      <c r="DV14" s="67"/>
      <c r="DW14" s="67"/>
      <c r="DX14" s="67"/>
      <c r="DY14" s="67"/>
      <c r="DZ14" s="39"/>
      <c r="EA14" s="39"/>
      <c r="EB14" s="39"/>
      <c r="EC14" s="39"/>
      <c r="ED14" s="39"/>
      <c r="EE14" s="39"/>
      <c r="EF14" s="39"/>
      <c r="EG14" s="39"/>
      <c r="EH14" s="67"/>
      <c r="EI14" s="67"/>
      <c r="EJ14" s="67"/>
      <c r="EK14" s="67"/>
      <c r="EL14" s="67"/>
      <c r="EM14" s="67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413" t="str">
        <f>"Beste Note"&amp;CHAR(10)&amp;"aus jeder der"&amp;CHAR(10)&amp;COUNT(_AnzBS1)&amp;" Disziplinen"</f>
        <v>Beste Note
aus jeder der
4 Disziplinen</v>
      </c>
      <c r="FB14" s="39"/>
      <c r="FC14" s="63"/>
      <c r="FD14" s="39"/>
      <c r="FE14" s="419" t="str">
        <f>INDEX(StdDisziplinen[Resultatform],FE$3)</f>
        <v>Punkte, gerundet auf ganze Zahl</v>
      </c>
      <c r="FF14" s="419"/>
      <c r="FG14" s="419"/>
      <c r="FH14" s="419"/>
      <c r="FI14" s="419"/>
      <c r="FJ14" s="39"/>
      <c r="FK14" s="419" t="str">
        <f>INDEX(StdDisziplinen[Resultatform],FK$3)</f>
        <v>Punkte, gerundet auf ganze Zahl</v>
      </c>
      <c r="FL14" s="419"/>
      <c r="FM14" s="419"/>
      <c r="FN14" s="419"/>
      <c r="FO14" s="419"/>
      <c r="FP14" s="39"/>
      <c r="FQ14" s="419" t="str">
        <f>INDEX(StdDisziplinen[Resultatform],FQ$3)</f>
        <v>Punkte, gerundet auf ganze Zahl</v>
      </c>
      <c r="FR14" s="419"/>
      <c r="FS14" s="419"/>
      <c r="FT14" s="419"/>
      <c r="FU14" s="419"/>
      <c r="FV14" s="39"/>
      <c r="FW14" s="419" t="str">
        <f>INDEX(StdDisziplinen[Resultatform],FW$3)</f>
        <v>Punkte, gerundet auf ganze Zahl</v>
      </c>
      <c r="FX14" s="419"/>
      <c r="FY14" s="419"/>
      <c r="FZ14" s="419"/>
      <c r="GA14" s="419"/>
      <c r="GB14" s="39"/>
      <c r="GC14" s="419" t="str">
        <f>INDEX(StdDisziplinen[Resultatform],GC$3)</f>
        <v>Punkte, gerundet auf ganze Zahl</v>
      </c>
      <c r="GD14" s="419"/>
      <c r="GE14" s="419"/>
      <c r="GF14" s="419"/>
      <c r="GG14" s="419"/>
      <c r="GH14" s="39"/>
      <c r="GI14" s="419" t="str">
        <f>INDEX(StdDisziplinen[Resultatform],GI$3)</f>
        <v>Punkte, gerundet auf ganze Zahl</v>
      </c>
      <c r="GJ14" s="419"/>
      <c r="GK14" s="419"/>
      <c r="GL14" s="419"/>
      <c r="GM14" s="419"/>
      <c r="GN14" s="390"/>
      <c r="GO14" s="292">
        <f>$GO$3</f>
        <v>10</v>
      </c>
      <c r="GP14" s="292">
        <f>$GP$3</f>
        <v>11</v>
      </c>
      <c r="GQ14" s="292">
        <f>$GQ$3</f>
        <v>12</v>
      </c>
      <c r="GR14" s="292">
        <f>$GR$3</f>
        <v>13</v>
      </c>
      <c r="GS14" s="292">
        <f>$GS$3</f>
        <v>14</v>
      </c>
      <c r="GT14" s="292">
        <f>$GT$3</f>
        <v>15</v>
      </c>
      <c r="GU14" s="39"/>
      <c r="GV14" s="39"/>
      <c r="GW14" s="39"/>
      <c r="GX14" s="39"/>
      <c r="GY14" s="39"/>
      <c r="GZ14" s="39"/>
      <c r="HA14" s="133">
        <f t="shared" ref="HA14:HF14" si="0">GO3</f>
        <v>10</v>
      </c>
      <c r="HB14" s="133">
        <f t="shared" si="0"/>
        <v>11</v>
      </c>
      <c r="HC14" s="133">
        <f t="shared" si="0"/>
        <v>12</v>
      </c>
      <c r="HD14" s="133">
        <f t="shared" si="0"/>
        <v>13</v>
      </c>
      <c r="HE14" s="133">
        <f t="shared" si="0"/>
        <v>14</v>
      </c>
      <c r="HF14" s="133">
        <f t="shared" si="0"/>
        <v>15</v>
      </c>
      <c r="HG14" s="63">
        <v>1</v>
      </c>
      <c r="HH14" s="397"/>
      <c r="HI14" s="402"/>
      <c r="HJ14" s="403"/>
      <c r="HK14" s="404"/>
      <c r="HL14" s="404"/>
      <c r="HM14" s="294" t="s">
        <v>527</v>
      </c>
      <c r="HN14" s="294" t="s">
        <v>528</v>
      </c>
      <c r="HO14" s="391" t="s">
        <v>530</v>
      </c>
      <c r="HP14" s="391" t="s">
        <v>525</v>
      </c>
      <c r="HQ14" s="391" t="s">
        <v>531</v>
      </c>
      <c r="HR14" s="391" t="s">
        <v>533</v>
      </c>
      <c r="HS14" s="389" t="s">
        <v>534</v>
      </c>
      <c r="HT14" s="63"/>
      <c r="HW14" s="286">
        <f>ROW(HW19)-ROWS(GO14:GO19)</f>
        <v>13</v>
      </c>
      <c r="HY14" s="18"/>
      <c r="HZ14" s="18"/>
      <c r="IA14" s="18"/>
      <c r="IB14" s="63">
        <v>2</v>
      </c>
      <c r="IC14" s="295" t="str">
        <f>$HO$14</f>
        <v>1 # / 1 D</v>
      </c>
      <c r="ID14" s="295" t="str">
        <f>$HP$14</f>
        <v>2D</v>
      </c>
      <c r="IE14" s="295" t="str">
        <f>$HQ$14</f>
        <v>2 #</v>
      </c>
      <c r="IF14" s="295" t="str">
        <f>$IE$14&amp;" ="</f>
        <v>2 # =</v>
      </c>
      <c r="IG14" s="370" t="str">
        <f>$HR$14</f>
        <v>UzD!</v>
      </c>
      <c r="IH14" s="389" t="s">
        <v>535</v>
      </c>
      <c r="II14" s="63"/>
      <c r="IL14" s="286">
        <f>$HW$14</f>
        <v>13</v>
      </c>
      <c r="IN14" s="18"/>
      <c r="IO14" s="18"/>
      <c r="IP14" s="18"/>
      <c r="IQ14" s="63">
        <v>3</v>
      </c>
      <c r="IR14" s="63"/>
      <c r="IU14" s="286">
        <f>$HW$14</f>
        <v>13</v>
      </c>
      <c r="IW14" s="18"/>
      <c r="IX14" s="18"/>
      <c r="IY14" s="18"/>
      <c r="IZ14" s="413" t="str">
        <f>"Summe der "&amp;CHAR(10)&amp;$IZ$4&amp;" besten Resultate"&amp;CHAR(10)&amp;"aus max. "&amp;CHAR(10)&amp;COUNT(_AnzBS2)&amp;" Geräten"</f>
        <v>Summe der 
3 besten Resultate
aus max. 
6 Geräten</v>
      </c>
      <c r="JA14" s="39"/>
      <c r="JB14" s="39"/>
      <c r="JC14" s="417"/>
      <c r="JD14" s="417"/>
      <c r="JE14" s="417"/>
      <c r="JF14" s="417"/>
      <c r="JG14" s="417"/>
      <c r="JH14" s="417"/>
      <c r="JI14" s="39"/>
      <c r="JJ14" s="420" t="str">
        <f>INDEX(StdDisziplinen[Resultatform],JJ$3)</f>
        <v>Punkte, gerundet auf ganze Zahl</v>
      </c>
      <c r="JK14" s="420"/>
      <c r="JL14" s="420"/>
      <c r="JM14" s="420"/>
      <c r="JN14" s="420"/>
      <c r="JO14" s="420"/>
      <c r="JP14" s="420"/>
      <c r="JQ14" s="420"/>
      <c r="JR14" s="420"/>
      <c r="JS14" s="39"/>
      <c r="JW14" s="39"/>
      <c r="JX14" s="39"/>
      <c r="JY14" s="39"/>
      <c r="JZ14" s="39"/>
      <c r="KA14" s="39"/>
      <c r="KB14" s="39"/>
      <c r="KC14" s="39"/>
      <c r="KD14" s="39"/>
      <c r="KE14" s="415" t="s">
        <v>175</v>
      </c>
      <c r="KF14" s="39"/>
      <c r="KG14" s="63"/>
      <c r="KH14" s="39"/>
      <c r="KI14" s="419" t="str">
        <f>INDEX(StdDisziplinen[Resultatform],KI$3)</f>
        <v>Punkte, ganze oder halbe</v>
      </c>
      <c r="KJ14" s="419"/>
      <c r="KK14" s="419"/>
      <c r="KL14" s="419"/>
      <c r="KM14" s="419"/>
      <c r="KN14" s="419"/>
      <c r="KO14" s="419"/>
      <c r="KP14" s="419"/>
      <c r="KQ14" s="419"/>
      <c r="KR14" s="39"/>
      <c r="KS14" s="419" t="str">
        <f>INDEX(StdDisziplinen[Resultatform],KS$3)</f>
        <v>Punkte, ganze</v>
      </c>
      <c r="KT14" s="419"/>
      <c r="KU14" s="419"/>
      <c r="KV14" s="419"/>
      <c r="KW14" s="419"/>
      <c r="KX14" s="419"/>
      <c r="KY14" s="419"/>
      <c r="KZ14" s="419"/>
      <c r="LA14" s="419"/>
      <c r="LB14" s="39"/>
      <c r="LC14" s="419" t="str">
        <f>INDEX(StdDisziplinen[Resultatform],LC$3)</f>
        <v>Punkte, ganze oder halbe</v>
      </c>
      <c r="LD14" s="419"/>
      <c r="LE14" s="419"/>
      <c r="LF14" s="419"/>
      <c r="LG14" s="419"/>
      <c r="LH14" s="419"/>
      <c r="LI14" s="419"/>
      <c r="LJ14" s="419"/>
      <c r="LK14" s="419"/>
      <c r="LL14" s="39"/>
      <c r="LM14" s="390"/>
      <c r="LN14" s="390"/>
      <c r="LO14" s="390"/>
      <c r="LP14" s="390"/>
      <c r="LQ14" s="390"/>
      <c r="LR14" s="217"/>
      <c r="LS14" s="217"/>
      <c r="LT14" s="217"/>
      <c r="LU14" s="271">
        <v>1</v>
      </c>
      <c r="LV14" s="271"/>
      <c r="LW14" s="271"/>
      <c r="LX14" s="453" t="str">
        <f>$HU$13</f>
        <v>Texte Wertespalten</v>
      </c>
      <c r="LY14" s="454"/>
      <c r="LZ14" s="454"/>
      <c r="MA14" s="454"/>
      <c r="MB14" s="454"/>
      <c r="MC14" s="454"/>
      <c r="MD14" s="454"/>
      <c r="ME14" s="455"/>
      <c r="MF14" s="444" t="str">
        <f>$HY$13</f>
        <v>Höchstwert pro Stufe</v>
      </c>
      <c r="MG14" s="445"/>
      <c r="MH14" s="446"/>
      <c r="MI14" s="390"/>
      <c r="MJ14" s="418" t="str">
        <f>"Beste Note"&amp;CHAR(10)&amp;"aus max."&amp;CHAR(10)&amp;COUNT(_AnzBS3)&amp;" Disziplinen"</f>
        <v>Beste Note
aus max.
3 Disziplinen</v>
      </c>
      <c r="MK14" s="39"/>
      <c r="ML14" s="419" t="str">
        <f>INDEX(StdDisziplinen[Resultatform],ML$3)</f>
        <v>Sekunden, gerundet auf Zehntelsekunden</v>
      </c>
      <c r="MM14" s="419"/>
      <c r="MN14" s="419"/>
      <c r="MO14" s="419"/>
      <c r="MP14" s="419"/>
      <c r="MQ14" s="419"/>
      <c r="MR14" s="419"/>
      <c r="MS14" s="419"/>
      <c r="MT14" s="419"/>
      <c r="MU14" s="39"/>
      <c r="MV14" s="419" t="str">
        <f>INDEX(StdDisziplinen[Resultatform],MV$3)</f>
        <v>Sekunden, gerundet auf Zehntelsekunden</v>
      </c>
      <c r="MW14" s="419"/>
      <c r="MX14" s="419"/>
      <c r="MY14" s="419"/>
      <c r="MZ14" s="419"/>
      <c r="NA14" s="419"/>
      <c r="NB14" s="419"/>
      <c r="NC14" s="419"/>
      <c r="ND14" s="419"/>
      <c r="NE14" s="39"/>
      <c r="NF14" s="419" t="str">
        <f>INDEX(StdDisziplinen[Resultatform],NF$3)</f>
        <v>Sekunden, gerundet auf Zehntelsekunden</v>
      </c>
      <c r="NG14" s="419"/>
      <c r="NH14" s="419"/>
      <c r="NI14" s="419"/>
      <c r="NJ14" s="419"/>
      <c r="NK14" s="419"/>
      <c r="NL14" s="419"/>
      <c r="NM14" s="419"/>
      <c r="NN14" s="419"/>
      <c r="NO14" s="39"/>
      <c r="NP14" s="419" t="str">
        <f>INDEX(StdDisziplinen[Resultatform],NP$3)</f>
        <v>Sekunden, gerundet auf Zehntelsekunden</v>
      </c>
      <c r="NQ14" s="419"/>
      <c r="NR14" s="419"/>
      <c r="NS14" s="419"/>
      <c r="NT14" s="419"/>
      <c r="NU14" s="419"/>
      <c r="NV14" s="419"/>
      <c r="NW14" s="419"/>
      <c r="NX14" s="419"/>
      <c r="NY14" s="39"/>
      <c r="NZ14" s="420" t="str">
        <f>INDEX(StdDisziplinen[Resultatform],NZ$3)</f>
        <v>Punkte, abgerundet auf ganze Zahl</v>
      </c>
      <c r="OA14" s="420"/>
      <c r="OB14" s="420"/>
      <c r="OC14" s="420"/>
      <c r="OD14" s="420"/>
      <c r="OE14" s="420"/>
      <c r="OF14" s="420"/>
      <c r="OG14" s="420"/>
      <c r="OH14" s="420"/>
      <c r="OI14" s="390"/>
      <c r="OJ14" s="292">
        <f>$OJ$3</f>
        <v>20</v>
      </c>
      <c r="OK14" s="292">
        <f>$OK$3</f>
        <v>21</v>
      </c>
      <c r="OL14" s="292">
        <f>$OL$3</f>
        <v>22</v>
      </c>
      <c r="OM14" s="292">
        <f>$OM$3</f>
        <v>23</v>
      </c>
      <c r="ON14" s="292">
        <f>$ON$3</f>
        <v>24</v>
      </c>
      <c r="OO14" s="39"/>
      <c r="OP14" s="39"/>
      <c r="OQ14" s="39"/>
      <c r="OR14" s="39"/>
      <c r="OS14" s="39"/>
      <c r="OT14" s="39"/>
      <c r="OU14" s="222"/>
      <c r="OV14" s="133">
        <f>OJ3</f>
        <v>20</v>
      </c>
      <c r="OW14" s="133">
        <f>OK3</f>
        <v>21</v>
      </c>
      <c r="OX14" s="133">
        <f>OL3</f>
        <v>22</v>
      </c>
      <c r="OY14" s="133">
        <f>OM3</f>
        <v>23</v>
      </c>
      <c r="OZ14" s="133">
        <f>ON3</f>
        <v>24</v>
      </c>
      <c r="PA14" s="63">
        <v>1</v>
      </c>
      <c r="PB14" s="397"/>
      <c r="PC14" s="397"/>
      <c r="PD14" s="458"/>
      <c r="PE14" s="443"/>
      <c r="PF14" s="443"/>
      <c r="PG14" s="294" t="str">
        <f>$HM$14</f>
        <v>nur 1 D</v>
      </c>
      <c r="PH14" s="294" t="str">
        <f>$HN$14</f>
        <v>nur 1 #</v>
      </c>
      <c r="PI14" s="391" t="str">
        <f>$HO$14</f>
        <v>1 # / 1 D</v>
      </c>
      <c r="PJ14" s="391" t="str">
        <f>$HP$14</f>
        <v>2D</v>
      </c>
      <c r="PK14" s="391" t="str">
        <f>$HQ$14</f>
        <v>2 #</v>
      </c>
      <c r="PL14" s="391" t="str">
        <f>$HR$14</f>
        <v>UzD!</v>
      </c>
      <c r="PM14" s="389" t="s">
        <v>536</v>
      </c>
      <c r="PN14" s="63"/>
      <c r="PW14" s="444" t="str">
        <f>"nur "&amp;$ON$10&amp;" (mit "&amp;$PQ$1&amp;" oder Dispens)"</f>
        <v>nur Volleyball (mit Resultat oder Dispens)</v>
      </c>
      <c r="PX14" s="445"/>
      <c r="PY14" s="446"/>
      <c r="PZ14" s="63">
        <v>2</v>
      </c>
      <c r="QA14" s="295" t="str">
        <f>$HO$14</f>
        <v>1 # / 1 D</v>
      </c>
      <c r="QB14" s="295" t="str">
        <f>$HP$14</f>
        <v>2D</v>
      </c>
      <c r="QC14" s="295" t="str">
        <f>$HQ$14</f>
        <v>2 #</v>
      </c>
      <c r="QD14" s="295" t="str">
        <f>$IE$14&amp;" ="</f>
        <v>2 # =</v>
      </c>
      <c r="QE14" s="370" t="str">
        <f>$HR$14</f>
        <v>UzD!</v>
      </c>
      <c r="QF14" s="389" t="s">
        <v>537</v>
      </c>
      <c r="QG14" s="63"/>
      <c r="QP14" s="444" t="str">
        <f>$PW$14</f>
        <v>nur Volleyball (mit Resultat oder Dispens)</v>
      </c>
      <c r="QQ14" s="445"/>
      <c r="QR14" s="446"/>
      <c r="QS14" s="63">
        <v>3</v>
      </c>
      <c r="QT14" s="63"/>
      <c r="RC14" s="444" t="str">
        <f>$PW$14</f>
        <v>nur Volleyball (mit Resultat oder Dispens)</v>
      </c>
      <c r="RD14" s="445"/>
      <c r="RE14" s="446"/>
      <c r="RF14" s="261"/>
      <c r="RG14" s="261"/>
      <c r="RH14" s="261"/>
      <c r="RI14" s="261"/>
      <c r="RJ14" s="261"/>
      <c r="RK14" s="217"/>
      <c r="RL14" s="217"/>
      <c r="RM14" s="217"/>
      <c r="RN14" s="217"/>
      <c r="RO14" s="217"/>
      <c r="RP14" s="39"/>
      <c r="RQ14" s="39"/>
      <c r="RR14" s="39"/>
      <c r="RS14" s="39"/>
      <c r="RT14" s="39"/>
      <c r="RU14" s="39"/>
      <c r="RV14" s="415" t="str">
        <f>$RV$4&amp;" beste Noten"&amp;CHAR(10)&amp;"aus max."&amp;CHAR(10)&amp;COUNT(_AnzBS4)&amp;" Spielsportarten"</f>
        <v>3 beste Noten
aus max.
5 Spielsportarten</v>
      </c>
      <c r="RW14" s="39"/>
      <c r="RX14" s="63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472" t="s">
        <v>176</v>
      </c>
      <c r="TG14" s="41"/>
      <c r="TH14" s="145"/>
      <c r="TI14" s="35"/>
      <c r="TK14" s="144"/>
      <c r="TL14" s="42"/>
      <c r="TM14" s="513" t="str">
        <f>INDEX(StdDisziplinen[Resultatform],TM$3)</f>
        <v>Sekunden, gerundet auf ganze Zahl</v>
      </c>
      <c r="TN14" s="513"/>
      <c r="TO14" s="513"/>
      <c r="TP14" s="513"/>
      <c r="TQ14" s="513"/>
      <c r="TR14" s="513"/>
      <c r="TS14" s="513"/>
      <c r="TT14" s="513"/>
      <c r="TU14" s="39"/>
      <c r="TV14" s="188" t="s">
        <v>163</v>
      </c>
      <c r="TW14" s="140"/>
      <c r="TX14" s="140"/>
      <c r="TY14" s="140"/>
      <c r="TZ14" s="140"/>
      <c r="UA14" s="39"/>
      <c r="UB14" s="143" t="str">
        <f>$TV$14</f>
        <v>Effektiv erzieltes Resultat bei BS 1 eintragen</v>
      </c>
      <c r="UC14" s="143"/>
      <c r="UD14" s="143"/>
      <c r="UE14" s="143"/>
      <c r="UF14" s="143"/>
      <c r="UG14" s="39"/>
      <c r="UH14" s="419" t="str">
        <f>INDEX(StdDisziplinen[Resultatform],UH$3)</f>
        <v>Zentimeter, abgerundet auf ganze Zahl</v>
      </c>
      <c r="UI14" s="419"/>
      <c r="UJ14" s="419"/>
      <c r="UK14" s="419"/>
      <c r="UL14" s="419"/>
      <c r="UM14" s="419"/>
      <c r="UN14" s="419"/>
      <c r="UO14" s="419"/>
      <c r="UP14" s="39"/>
      <c r="UQ14" s="419" t="str">
        <f>INDEX(StdDisziplinen[Resultatform],UQ$3)</f>
        <v>Sekunden, abgerundet auf ganze Zahl</v>
      </c>
      <c r="UR14" s="419"/>
      <c r="US14" s="419"/>
      <c r="UT14" s="419"/>
      <c r="UU14" s="419"/>
      <c r="UV14" s="419"/>
      <c r="UW14" s="419"/>
      <c r="UX14" s="419"/>
      <c r="UY14" s="39"/>
      <c r="UZ14" s="188" t="str">
        <f>$TV$14</f>
        <v>Effektiv erzieltes Resultat bei BS 1 eintragen</v>
      </c>
      <c r="VA14" s="140"/>
      <c r="VB14" s="140"/>
      <c r="VC14" s="140"/>
      <c r="VD14" s="140"/>
      <c r="VE14" s="39"/>
      <c r="VF14" s="188" t="str">
        <f>$TV$14</f>
        <v>Effektiv erzieltes Resultat bei BS 1 eintragen</v>
      </c>
      <c r="VG14" s="140"/>
      <c r="VH14" s="140"/>
      <c r="VI14" s="140"/>
      <c r="VJ14" s="140"/>
      <c r="VK14" s="39"/>
      <c r="VL14" s="419" t="str">
        <f>INDEX(StdDisziplinen[Resultatform],VL$3)</f>
        <v>Punkte, gerundet auf ganze Zahl</v>
      </c>
      <c r="VM14" s="419"/>
      <c r="VN14" s="419"/>
      <c r="VO14" s="419"/>
      <c r="VP14" s="419"/>
      <c r="VQ14" s="419"/>
      <c r="VR14" s="419"/>
      <c r="VS14" s="419"/>
      <c r="VT14" s="419"/>
      <c r="VU14" s="34"/>
    </row>
    <row r="15" spans="1:593" s="38" customFormat="1" ht="6" customHeight="1" x14ac:dyDescent="0.3">
      <c r="A15" s="34"/>
      <c r="G15" s="86"/>
      <c r="H15" s="44"/>
      <c r="I15" s="44"/>
      <c r="J15" s="44"/>
      <c r="K15" s="44"/>
      <c r="L15" s="44"/>
      <c r="M15" s="44"/>
      <c r="N15" s="44"/>
      <c r="O15" s="44"/>
      <c r="Q15" s="86"/>
      <c r="R15" s="44"/>
      <c r="S15" s="44"/>
      <c r="T15" s="44"/>
      <c r="U15" s="44"/>
      <c r="V15" s="44"/>
      <c r="W15" s="44"/>
      <c r="X15" s="44"/>
      <c r="Y15" s="44"/>
      <c r="AA15" s="86"/>
      <c r="AB15" s="44"/>
      <c r="AC15" s="44"/>
      <c r="AD15" s="44"/>
      <c r="AE15" s="44"/>
      <c r="AF15" s="44"/>
      <c r="AG15" s="44"/>
      <c r="AH15" s="44"/>
      <c r="AI15" s="44"/>
      <c r="AK15" s="86"/>
      <c r="AL15" s="44"/>
      <c r="AM15" s="44"/>
      <c r="AN15" s="44"/>
      <c r="AO15" s="44"/>
      <c r="AP15" s="44"/>
      <c r="AQ15" s="44"/>
      <c r="AR15" s="44"/>
      <c r="AS15" s="44"/>
      <c r="AU15" s="86"/>
      <c r="AV15" s="44"/>
      <c r="AW15" s="44"/>
      <c r="AX15" s="44"/>
      <c r="AY15" s="44"/>
      <c r="AZ15" s="44"/>
      <c r="BA15" s="44"/>
      <c r="BB15" s="44"/>
      <c r="BC15" s="44"/>
      <c r="BE15" s="86"/>
      <c r="BF15" s="44"/>
      <c r="BG15" s="44"/>
      <c r="BH15" s="44"/>
      <c r="BI15" s="44"/>
      <c r="BJ15" s="44"/>
      <c r="BK15" s="44"/>
      <c r="BL15" s="44"/>
      <c r="BM15" s="44"/>
      <c r="BO15" s="86"/>
      <c r="BP15" s="44"/>
      <c r="BQ15" s="44"/>
      <c r="BR15" s="44"/>
      <c r="BS15" s="44"/>
      <c r="BT15" s="44"/>
      <c r="BU15" s="44"/>
      <c r="BV15" s="44"/>
      <c r="BW15" s="44"/>
      <c r="BY15" s="86"/>
      <c r="BZ15" s="44"/>
      <c r="CA15" s="44"/>
      <c r="CB15" s="44"/>
      <c r="CC15" s="44"/>
      <c r="CD15" s="44"/>
      <c r="CE15" s="44"/>
      <c r="CF15" s="44"/>
      <c r="CG15" s="44"/>
      <c r="CI15" s="86"/>
      <c r="CJ15" s="44"/>
      <c r="CK15" s="44"/>
      <c r="CL15" s="44"/>
      <c r="CM15" s="44"/>
      <c r="CN15" s="44"/>
      <c r="CO15" s="44"/>
      <c r="CP15" s="44"/>
      <c r="CQ15" s="44"/>
      <c r="CR15" s="44"/>
      <c r="CS15" s="39"/>
      <c r="CT15" s="39"/>
      <c r="CU15" s="39"/>
      <c r="CV15" s="39"/>
      <c r="CW15" s="39"/>
      <c r="CX15" s="67"/>
      <c r="CY15" s="67"/>
      <c r="CZ15" s="67"/>
      <c r="DA15" s="67"/>
      <c r="DB15" s="67"/>
      <c r="DC15" s="67"/>
      <c r="DD15" s="39"/>
      <c r="DE15" s="39"/>
      <c r="DF15" s="39"/>
      <c r="DG15" s="39"/>
      <c r="DH15" s="39"/>
      <c r="DI15" s="67"/>
      <c r="DJ15" s="67"/>
      <c r="DK15" s="67"/>
      <c r="DL15" s="67"/>
      <c r="DM15" s="67"/>
      <c r="DN15" s="67"/>
      <c r="DO15" s="39"/>
      <c r="DP15" s="39"/>
      <c r="DQ15" s="39"/>
      <c r="DR15" s="39"/>
      <c r="DS15" s="39"/>
      <c r="DT15" s="67"/>
      <c r="DU15" s="67"/>
      <c r="DV15" s="67"/>
      <c r="DW15" s="67"/>
      <c r="DX15" s="67"/>
      <c r="DY15" s="67"/>
      <c r="DZ15" s="39"/>
      <c r="EA15" s="39"/>
      <c r="EB15" s="39"/>
      <c r="EC15" s="39"/>
      <c r="ED15" s="39"/>
      <c r="EE15" s="39"/>
      <c r="EF15" s="39"/>
      <c r="EG15" s="39"/>
      <c r="EH15" s="67"/>
      <c r="EI15" s="67"/>
      <c r="EJ15" s="67"/>
      <c r="EK15" s="67"/>
      <c r="EL15" s="67"/>
      <c r="EM15" s="67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536"/>
      <c r="FB15" s="39"/>
      <c r="FC15" s="63"/>
      <c r="FE15" s="86"/>
      <c r="FF15" s="44"/>
      <c r="FG15" s="44"/>
      <c r="FH15" s="44"/>
      <c r="FI15" s="44"/>
      <c r="FK15" s="86"/>
      <c r="FL15" s="44"/>
      <c r="FM15" s="44"/>
      <c r="FN15" s="44"/>
      <c r="FO15" s="44"/>
      <c r="FQ15" s="86"/>
      <c r="FR15" s="44"/>
      <c r="FS15" s="44"/>
      <c r="FT15" s="44"/>
      <c r="FU15" s="44"/>
      <c r="FW15" s="86"/>
      <c r="FX15" s="44"/>
      <c r="FY15" s="44"/>
      <c r="FZ15" s="44"/>
      <c r="GA15" s="44"/>
      <c r="GC15" s="86"/>
      <c r="GD15" s="44"/>
      <c r="GE15" s="44"/>
      <c r="GF15" s="44"/>
      <c r="GG15" s="44"/>
      <c r="GI15" s="86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39"/>
      <c r="GV15" s="39"/>
      <c r="GW15" s="39"/>
      <c r="GX15" s="39"/>
      <c r="GY15" s="39"/>
      <c r="GZ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414"/>
      <c r="JA15" s="39"/>
      <c r="JB15" s="44"/>
      <c r="JC15" s="177"/>
      <c r="JD15" s="177"/>
      <c r="JE15" s="177"/>
      <c r="JF15" s="177"/>
      <c r="JG15" s="177"/>
      <c r="JH15" s="177"/>
      <c r="JJ15" s="86"/>
      <c r="JK15" s="44"/>
      <c r="JL15" s="44"/>
      <c r="JM15" s="44"/>
      <c r="JN15" s="44"/>
      <c r="JO15" s="44"/>
      <c r="JP15" s="44"/>
      <c r="JQ15" s="44"/>
      <c r="JR15" s="44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416"/>
      <c r="KF15" s="39"/>
      <c r="KG15" s="63"/>
      <c r="KI15" s="86"/>
      <c r="KJ15" s="44"/>
      <c r="KK15" s="44"/>
      <c r="KL15" s="44"/>
      <c r="KM15" s="44"/>
      <c r="KN15" s="44"/>
      <c r="KO15" s="44"/>
      <c r="KP15" s="44"/>
      <c r="KQ15" s="44"/>
      <c r="KS15" s="86"/>
      <c r="KT15" s="44"/>
      <c r="KU15" s="44"/>
      <c r="KV15" s="44"/>
      <c r="KW15" s="44"/>
      <c r="KX15" s="44"/>
      <c r="KY15" s="44"/>
      <c r="KZ15" s="44"/>
      <c r="LA15" s="44"/>
      <c r="LC15" s="86"/>
      <c r="LD15" s="44"/>
      <c r="LE15" s="44"/>
      <c r="LF15" s="44"/>
      <c r="LG15" s="44"/>
      <c r="LH15" s="44"/>
      <c r="LI15" s="44"/>
      <c r="LJ15" s="44"/>
      <c r="LK15" s="44"/>
      <c r="LL15" s="39"/>
      <c r="LM15" s="44"/>
      <c r="LN15" s="44"/>
      <c r="LO15" s="44"/>
      <c r="LP15" s="44"/>
      <c r="LQ15" s="44"/>
      <c r="LR15" s="216"/>
      <c r="LS15" s="216"/>
      <c r="LT15" s="216"/>
      <c r="LU15" s="262"/>
      <c r="LV15" s="262"/>
      <c r="LW15" s="262"/>
      <c r="LX15" s="216"/>
      <c r="LY15" s="216"/>
      <c r="LZ15" s="216"/>
      <c r="MA15" s="216"/>
      <c r="MB15" s="216"/>
      <c r="MC15" s="216"/>
      <c r="MD15" s="216"/>
      <c r="ME15" s="216"/>
      <c r="MF15" s="39"/>
      <c r="MG15" s="39"/>
      <c r="MH15" s="39"/>
      <c r="MI15" s="44"/>
      <c r="MJ15" s="416"/>
      <c r="MK15" s="39"/>
      <c r="ML15" s="86"/>
      <c r="MM15" s="44"/>
      <c r="MN15" s="44"/>
      <c r="MO15" s="44"/>
      <c r="MP15" s="44"/>
      <c r="MQ15" s="44"/>
      <c r="MR15" s="44"/>
      <c r="MS15" s="44"/>
      <c r="MT15" s="44"/>
      <c r="MV15" s="86"/>
      <c r="MW15" s="44"/>
      <c r="MX15" s="44"/>
      <c r="MY15" s="44"/>
      <c r="MZ15" s="44"/>
      <c r="NA15" s="44"/>
      <c r="NB15" s="44"/>
      <c r="NC15" s="44"/>
      <c r="ND15" s="44"/>
      <c r="NF15" s="86"/>
      <c r="NG15" s="44"/>
      <c r="NH15" s="44"/>
      <c r="NI15" s="44"/>
      <c r="NJ15" s="44"/>
      <c r="NK15" s="44"/>
      <c r="NL15" s="44"/>
      <c r="NM15" s="44"/>
      <c r="NN15" s="44"/>
      <c r="NP15" s="86"/>
      <c r="NQ15" s="44"/>
      <c r="NR15" s="44"/>
      <c r="NS15" s="44"/>
      <c r="NT15" s="44"/>
      <c r="NU15" s="44"/>
      <c r="NV15" s="44"/>
      <c r="NW15" s="44"/>
      <c r="NX15" s="44"/>
      <c r="NZ15" s="86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39"/>
      <c r="OP15" s="39"/>
      <c r="OQ15" s="39"/>
      <c r="OR15" s="39"/>
      <c r="OS15" s="39"/>
      <c r="OT15" s="39"/>
      <c r="OU15" s="221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216"/>
      <c r="RG15" s="216"/>
      <c r="RH15" s="216"/>
      <c r="RI15" s="216"/>
      <c r="RJ15" s="216"/>
      <c r="RK15" s="216"/>
      <c r="RL15" s="216"/>
      <c r="RM15" s="216"/>
      <c r="RN15" s="216"/>
      <c r="RO15" s="216"/>
      <c r="RP15" s="39"/>
      <c r="RQ15" s="39"/>
      <c r="RR15" s="39"/>
      <c r="RS15" s="39"/>
      <c r="RT15" s="39"/>
      <c r="RU15" s="39"/>
      <c r="RV15" s="416"/>
      <c r="RW15" s="39"/>
      <c r="RX15" s="63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416"/>
      <c r="TH15" s="135"/>
      <c r="TK15" s="145"/>
      <c r="TM15" s="135"/>
      <c r="TO15" s="44"/>
      <c r="TT15" s="39"/>
      <c r="TU15" s="39"/>
      <c r="TV15" s="140"/>
      <c r="TW15" s="18"/>
      <c r="TX15" s="18"/>
      <c r="TY15" s="18"/>
      <c r="TZ15" s="18"/>
      <c r="UB15" s="141"/>
      <c r="UC15" s="44"/>
      <c r="UD15" s="44"/>
      <c r="UE15" s="44"/>
      <c r="UF15" s="44"/>
      <c r="UH15" s="148"/>
      <c r="UI15" s="44"/>
      <c r="UJ15" s="44"/>
      <c r="UK15" s="44"/>
      <c r="UL15" s="44"/>
      <c r="UM15" s="44"/>
      <c r="UN15" s="44"/>
      <c r="UO15" s="44"/>
      <c r="UQ15" s="148"/>
      <c r="UR15" s="44"/>
      <c r="US15" s="44"/>
      <c r="UT15" s="44"/>
      <c r="UU15" s="44"/>
      <c r="UV15" s="44"/>
      <c r="UW15" s="44"/>
      <c r="UX15" s="44"/>
      <c r="UZ15" s="140"/>
      <c r="VA15" s="18"/>
      <c r="VB15" s="18"/>
      <c r="VC15" s="18"/>
      <c r="VD15" s="18"/>
      <c r="VF15" s="140"/>
      <c r="VG15" s="18"/>
      <c r="VH15" s="18"/>
      <c r="VI15" s="18"/>
      <c r="VJ15" s="18"/>
      <c r="VL15" s="86"/>
      <c r="VM15" s="44"/>
      <c r="VN15" s="44"/>
      <c r="VO15" s="44"/>
      <c r="VP15" s="44"/>
      <c r="VQ15" s="44"/>
      <c r="VR15" s="44"/>
      <c r="VS15" s="44"/>
      <c r="VT15" s="44"/>
      <c r="VU15" s="34"/>
    </row>
    <row r="16" spans="1:593" s="66" customFormat="1" ht="14.4" customHeight="1" x14ac:dyDescent="0.3">
      <c r="A16" s="64"/>
      <c r="B16" s="90" t="s">
        <v>110</v>
      </c>
      <c r="C16" s="91"/>
      <c r="D16" s="91"/>
      <c r="E16" s="91"/>
      <c r="F16" s="52" t="s">
        <v>130</v>
      </c>
      <c r="G16" s="592" t="s">
        <v>171</v>
      </c>
      <c r="H16" s="65"/>
      <c r="I16" s="18">
        <f>INDEX(StdDisziplinen[Mathematisch],G$3)</f>
        <v>1</v>
      </c>
      <c r="J16" s="38">
        <f>INDEX(StdDisziplinen[StdStellen],G$3)</f>
        <v>2</v>
      </c>
      <c r="K16" s="65"/>
      <c r="L16" s="65"/>
      <c r="M16" s="65"/>
      <c r="N16" s="65"/>
      <c r="O16" s="65"/>
      <c r="Q16" s="592" t="s">
        <v>171</v>
      </c>
      <c r="R16" s="65"/>
      <c r="S16" s="18">
        <f>INDEX(StdDisziplinen[Mathematisch],Q$3)</f>
        <v>1</v>
      </c>
      <c r="T16" s="38">
        <f>INDEX(StdDisziplinen[StdStellen],Q$3)</f>
        <v>2</v>
      </c>
      <c r="U16" s="65"/>
      <c r="V16" s="65"/>
      <c r="W16" s="65"/>
      <c r="X16" s="65"/>
      <c r="Y16" s="65"/>
      <c r="AA16" s="592" t="s">
        <v>171</v>
      </c>
      <c r="AB16" s="65"/>
      <c r="AC16" s="18">
        <f>INDEX(StdDisziplinen[Mathematisch],AA$3)</f>
        <v>1</v>
      </c>
      <c r="AD16" s="199">
        <f>INDEX(StdDisziplinen[StdStellen],AA$3)</f>
        <v>0.5</v>
      </c>
      <c r="AE16" s="18"/>
      <c r="AF16" s="65"/>
      <c r="AG16" s="65"/>
      <c r="AH16" s="65"/>
      <c r="AI16" s="65"/>
      <c r="AK16" s="592" t="s">
        <v>171</v>
      </c>
      <c r="AL16" s="65"/>
      <c r="AM16" s="18">
        <f>INDEX(StdDisziplinen[Mathematisch],AK$3)</f>
        <v>1</v>
      </c>
      <c r="AN16" s="38">
        <f>INDEX(StdDisziplinen[StdStellen],AK$3)</f>
        <v>0</v>
      </c>
      <c r="AO16" s="65"/>
      <c r="AP16" s="65"/>
      <c r="AQ16" s="65"/>
      <c r="AR16" s="65"/>
      <c r="AS16" s="65"/>
      <c r="AU16" s="592" t="s">
        <v>171</v>
      </c>
      <c r="AV16" s="65"/>
      <c r="AW16" s="18">
        <f>INDEX(StdDisziplinen[Mathematisch],AU$3)</f>
        <v>1</v>
      </c>
      <c r="AX16" s="38">
        <f>INDEX(StdDisziplinen[StdStellen],AU$3)</f>
        <v>0</v>
      </c>
      <c r="AY16" s="65"/>
      <c r="AZ16" s="65"/>
      <c r="BA16" s="65"/>
      <c r="BB16" s="65"/>
      <c r="BC16" s="65"/>
      <c r="BE16" s="592" t="s">
        <v>171</v>
      </c>
      <c r="BF16" s="65"/>
      <c r="BG16" s="18">
        <f>INDEX(StdDisziplinen[Mathematisch],BE$3)</f>
        <v>1</v>
      </c>
      <c r="BH16" s="38">
        <f>INDEX(StdDisziplinen[StdStellen],BE$3)</f>
        <v>0</v>
      </c>
      <c r="BI16" s="65"/>
      <c r="BJ16" s="65"/>
      <c r="BK16" s="65"/>
      <c r="BL16" s="65"/>
      <c r="BM16" s="65"/>
      <c r="BO16" s="592" t="s">
        <v>171</v>
      </c>
      <c r="BP16" s="65"/>
      <c r="BQ16" s="18">
        <f>INDEX(StdDisziplinen[Mathematisch],BO$3)</f>
        <v>1</v>
      </c>
      <c r="BR16" s="38">
        <f>INDEX(StdDisziplinen[StdStellen],BO$3)</f>
        <v>2</v>
      </c>
      <c r="BS16" s="65"/>
      <c r="BT16" s="65"/>
      <c r="BU16" s="65"/>
      <c r="BV16" s="65"/>
      <c r="BW16" s="65"/>
      <c r="BY16" s="592" t="s">
        <v>171</v>
      </c>
      <c r="BZ16" s="65"/>
      <c r="CA16" s="18">
        <f>INDEX(StdDisziplinen[Mathematisch],BY$3)</f>
        <v>1</v>
      </c>
      <c r="CB16" s="38">
        <f>INDEX(StdDisziplinen[StdStellen],BY$3)</f>
        <v>2</v>
      </c>
      <c r="CC16" s="65"/>
      <c r="CD16" s="65"/>
      <c r="CE16" s="65"/>
      <c r="CF16" s="65"/>
      <c r="CG16" s="65"/>
      <c r="CI16" s="592" t="s">
        <v>171</v>
      </c>
      <c r="CJ16" s="65"/>
      <c r="CK16" s="18">
        <f>INDEX(StdDisziplinen[Mathematisch],CI$3)</f>
        <v>1</v>
      </c>
      <c r="CL16" s="38">
        <f>INDEX(StdDisziplinen[StdStellen],CI$3)</f>
        <v>2</v>
      </c>
      <c r="CM16" s="65"/>
      <c r="CN16" s="65"/>
      <c r="CO16" s="65"/>
      <c r="CP16" s="65"/>
      <c r="CQ16" s="65"/>
      <c r="CR16" s="65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536"/>
      <c r="FB16" s="67"/>
      <c r="FC16" s="68"/>
      <c r="FE16" s="592" t="s">
        <v>171</v>
      </c>
      <c r="FF16" s="65"/>
      <c r="FG16" s="65"/>
      <c r="FH16" s="65"/>
      <c r="FI16" s="65"/>
      <c r="FK16" s="592" t="s">
        <v>171</v>
      </c>
      <c r="FL16" s="65"/>
      <c r="FM16" s="65"/>
      <c r="FN16" s="65"/>
      <c r="FO16" s="65"/>
      <c r="FQ16" s="592" t="s">
        <v>171</v>
      </c>
      <c r="FR16" s="65"/>
      <c r="FS16" s="65"/>
      <c r="FT16" s="65"/>
      <c r="FU16" s="65"/>
      <c r="FW16" s="592" t="s">
        <v>171</v>
      </c>
      <c r="FX16" s="65"/>
      <c r="FY16" s="65"/>
      <c r="FZ16" s="65"/>
      <c r="GA16" s="65"/>
      <c r="GC16" s="592" t="s">
        <v>171</v>
      </c>
      <c r="GD16" s="65"/>
      <c r="GE16" s="65"/>
      <c r="GF16" s="65"/>
      <c r="GG16" s="65"/>
      <c r="GI16" s="592" t="s">
        <v>171</v>
      </c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7"/>
      <c r="GV16" s="67"/>
      <c r="GW16" s="67"/>
      <c r="GX16" s="67"/>
      <c r="GY16" s="63">
        <v>2</v>
      </c>
      <c r="GZ16" s="68">
        <v>3</v>
      </c>
      <c r="HG16" s="67"/>
      <c r="HH16" s="67"/>
      <c r="HI16" s="67"/>
      <c r="HK16" s="65"/>
      <c r="HL16" s="65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414"/>
      <c r="JA16" s="67"/>
      <c r="JB16" s="18">
        <f>INDEX(StdDisziplinen[Mathematisch],FE$3)</f>
        <v>1</v>
      </c>
      <c r="JC16" s="38">
        <f>INDEX(StdDisziplinen[StdStellen],FE$3)</f>
        <v>0</v>
      </c>
      <c r="JD16" s="65">
        <f>INDEX(StdDisziplinen[Vergleichstyp],$FE$3)</f>
        <v>1</v>
      </c>
      <c r="JF16" s="65"/>
      <c r="JG16" s="65"/>
      <c r="JH16" s="65"/>
      <c r="JJ16" s="592" t="s">
        <v>171</v>
      </c>
      <c r="JK16" s="65"/>
      <c r="JL16" s="18">
        <f>INDEX(StdDisziplinen[Mathematisch],JJ$3)</f>
        <v>1</v>
      </c>
      <c r="JM16" s="38">
        <f>INDEX(StdDisziplinen[StdStellen],JJ$3)</f>
        <v>0</v>
      </c>
      <c r="JN16" s="65"/>
      <c r="JO16" s="65"/>
      <c r="JP16" s="65"/>
      <c r="JQ16" s="65"/>
      <c r="JR16" s="65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39"/>
      <c r="KD16" s="39"/>
      <c r="KE16" s="416"/>
      <c r="KF16" s="67"/>
      <c r="KG16" s="68"/>
      <c r="KI16" s="592" t="s">
        <v>171</v>
      </c>
      <c r="KJ16" s="65"/>
      <c r="KK16" s="18">
        <f>INDEX(StdDisziplinen[Mathematisch],KI$3)</f>
        <v>1</v>
      </c>
      <c r="KL16" s="199">
        <f>INDEX(StdDisziplinen[StdStellen],KI$3)</f>
        <v>0.5</v>
      </c>
      <c r="KM16" s="65"/>
      <c r="KN16" s="65"/>
      <c r="KO16" s="65"/>
      <c r="KP16" s="65"/>
      <c r="KQ16" s="65"/>
      <c r="KS16" s="592" t="s">
        <v>171</v>
      </c>
      <c r="KT16" s="65"/>
      <c r="KU16" s="18">
        <f>INDEX(StdDisziplinen[Mathematisch],KS$3)</f>
        <v>1</v>
      </c>
      <c r="KV16" s="38">
        <f>INDEX(StdDisziplinen[StdStellen],KS$3)</f>
        <v>0</v>
      </c>
      <c r="KW16" s="65"/>
      <c r="KX16" s="65"/>
      <c r="KY16" s="65"/>
      <c r="KZ16" s="65"/>
      <c r="LA16" s="65"/>
      <c r="LC16" s="592" t="s">
        <v>171</v>
      </c>
      <c r="LD16" s="65"/>
      <c r="LE16" s="18">
        <f>INDEX(StdDisziplinen[Mathematisch],LC$3)</f>
        <v>1</v>
      </c>
      <c r="LF16" s="199">
        <f>INDEX(StdDisziplinen[StdStellen],LC$3)</f>
        <v>0.5</v>
      </c>
      <c r="LG16" s="65"/>
      <c r="LH16" s="65"/>
      <c r="LI16" s="65"/>
      <c r="LJ16" s="65"/>
      <c r="LK16" s="65"/>
      <c r="LL16" s="67"/>
      <c r="LM16" s="65"/>
      <c r="LN16" s="65"/>
      <c r="LO16" s="65"/>
      <c r="LP16" s="65"/>
      <c r="LQ16" s="65"/>
      <c r="LR16" s="216"/>
      <c r="LS16" s="216"/>
      <c r="LT16" s="216"/>
      <c r="LU16" s="262"/>
      <c r="LV16" s="262"/>
      <c r="LW16" s="262"/>
      <c r="LX16" s="216"/>
      <c r="LY16" s="216"/>
      <c r="LZ16" s="216"/>
      <c r="MA16" s="216"/>
      <c r="MB16" s="216"/>
      <c r="MC16" s="216"/>
      <c r="MD16" s="216"/>
      <c r="ME16" s="216"/>
      <c r="MF16" s="67"/>
      <c r="MG16" s="67"/>
      <c r="MH16" s="67"/>
      <c r="MI16" s="65"/>
      <c r="MJ16" s="416"/>
      <c r="MK16" s="67"/>
      <c r="ML16" s="592" t="s">
        <v>171</v>
      </c>
      <c r="MM16" s="65"/>
      <c r="MN16" s="18">
        <f>INDEX(StdDisziplinen[Mathematisch],ML$3)</f>
        <v>1</v>
      </c>
      <c r="MO16" s="38">
        <f>INDEX(StdDisziplinen[StdStellen],ML$3)</f>
        <v>1</v>
      </c>
      <c r="MP16" s="65"/>
      <c r="MQ16" s="65"/>
      <c r="MR16" s="65"/>
      <c r="MS16" s="65"/>
      <c r="MT16" s="65"/>
      <c r="MV16" s="592" t="s">
        <v>171</v>
      </c>
      <c r="MW16" s="65"/>
      <c r="MX16" s="18">
        <f>INDEX(StdDisziplinen[Mathematisch],MV$3)</f>
        <v>1</v>
      </c>
      <c r="MY16" s="38">
        <f>INDEX(StdDisziplinen[StdStellen],MV$3)</f>
        <v>1</v>
      </c>
      <c r="MZ16" s="65"/>
      <c r="NA16" s="65"/>
      <c r="NB16" s="65"/>
      <c r="NC16" s="65"/>
      <c r="ND16" s="65"/>
      <c r="NF16" s="592" t="s">
        <v>171</v>
      </c>
      <c r="NG16" s="65"/>
      <c r="NH16" s="18">
        <f>INDEX(StdDisziplinen[Mathematisch],NF$3)</f>
        <v>1</v>
      </c>
      <c r="NI16" s="38">
        <f>INDEX(StdDisziplinen[StdStellen],NF$3)</f>
        <v>1</v>
      </c>
      <c r="NJ16" s="65"/>
      <c r="NK16" s="65"/>
      <c r="NL16" s="65"/>
      <c r="NM16" s="65"/>
      <c r="NN16" s="65"/>
      <c r="NP16" s="592" t="s">
        <v>171</v>
      </c>
      <c r="NQ16" s="65"/>
      <c r="NR16" s="18">
        <f>INDEX(StdDisziplinen[Mathematisch],NP$3)</f>
        <v>1</v>
      </c>
      <c r="NS16" s="38">
        <f>INDEX(StdDisziplinen[StdStellen],NP$3)</f>
        <v>1</v>
      </c>
      <c r="NT16" s="65"/>
      <c r="NU16" s="65"/>
      <c r="NV16" s="65"/>
      <c r="NW16" s="65"/>
      <c r="NX16" s="65"/>
      <c r="NZ16" s="592" t="s">
        <v>171</v>
      </c>
      <c r="OA16" s="65"/>
      <c r="OB16" s="18">
        <f>INDEX(StdDisziplinen[Mathematisch],NZ$3)</f>
        <v>0</v>
      </c>
      <c r="OC16" s="38">
        <f>INDEX(StdDisziplinen[StdStellen],NZ$3)</f>
        <v>0</v>
      </c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7"/>
      <c r="OP16" s="67"/>
      <c r="OQ16" s="67"/>
      <c r="OR16" s="67"/>
      <c r="OS16" s="63">
        <v>2</v>
      </c>
      <c r="OT16" s="68">
        <v>3</v>
      </c>
      <c r="OU16" s="221"/>
      <c r="PA16" s="67"/>
      <c r="PB16" s="67"/>
      <c r="PC16" s="67"/>
      <c r="PE16" s="65"/>
      <c r="PF16" s="65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216"/>
      <c r="RG16" s="216"/>
      <c r="RH16" s="216"/>
      <c r="RI16" s="216"/>
      <c r="RJ16" s="216"/>
      <c r="RK16" s="216"/>
      <c r="RL16" s="216"/>
      <c r="RM16" s="216"/>
      <c r="RN16" s="216"/>
      <c r="RO16" s="216"/>
      <c r="RP16" s="67"/>
      <c r="RQ16" s="67"/>
      <c r="RR16" s="67"/>
      <c r="RS16" s="67"/>
      <c r="RT16" s="67"/>
      <c r="RU16" s="67"/>
      <c r="RV16" s="416"/>
      <c r="RW16" s="67"/>
      <c r="RX16" s="68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416"/>
      <c r="TH16" s="136"/>
      <c r="TK16" s="592" t="s">
        <v>171</v>
      </c>
      <c r="TM16" s="592" t="s">
        <v>171</v>
      </c>
      <c r="TO16" s="18">
        <f>INDEX(StdDisziplinen[Mathematisch],TM$3)</f>
        <v>1</v>
      </c>
      <c r="TP16" s="38">
        <f>INDEX(StdDisziplinen[StdStellen],TM$3)</f>
        <v>0</v>
      </c>
      <c r="TT16" s="67"/>
      <c r="TU16" s="67"/>
      <c r="TV16" s="139" t="str">
        <f>$AA$16</f>
        <v>2. OS</v>
      </c>
      <c r="TW16" s="65"/>
      <c r="TX16" s="463" t="str">
        <f>INDEX(StdDisziplinen[Resultatanzeige],TV$3)</f>
        <v>Anzahl Runden</v>
      </c>
      <c r="TY16" s="464"/>
      <c r="TZ16" s="465"/>
      <c r="UB16" s="139" t="str">
        <f>$AK$16</f>
        <v>2. OS</v>
      </c>
      <c r="UC16" s="65"/>
      <c r="UD16" s="466" t="str">
        <f>INDEX(StdDisziplinen[Bewertung],UB$3)</f>
        <v>Meter</v>
      </c>
      <c r="UE16" s="467"/>
      <c r="UF16" s="468"/>
      <c r="UH16" s="592" t="s">
        <v>171</v>
      </c>
      <c r="UI16" s="65"/>
      <c r="UJ16" s="18">
        <f>INDEX(StdDisziplinen[Mathematisch],UH$3)</f>
        <v>0</v>
      </c>
      <c r="UK16" s="38">
        <f>INDEX(StdDisziplinen[StdStellen],UH$3)</f>
        <v>0</v>
      </c>
      <c r="UL16" s="65"/>
      <c r="UM16" s="65"/>
      <c r="UN16" s="65"/>
      <c r="UO16" s="65"/>
      <c r="UQ16" s="592" t="s">
        <v>171</v>
      </c>
      <c r="UR16" s="65"/>
      <c r="US16" s="18">
        <f>INDEX(StdDisziplinen[Mathematisch],UQ$3)</f>
        <v>0</v>
      </c>
      <c r="UT16" s="38">
        <f>INDEX(StdDisziplinen[StdStellen],UQ$3)</f>
        <v>0</v>
      </c>
      <c r="UU16" s="65"/>
      <c r="UV16" s="65"/>
      <c r="UW16" s="65"/>
      <c r="UX16" s="65"/>
      <c r="UZ16" s="139" t="str">
        <f>$G$16</f>
        <v>2. OS</v>
      </c>
      <c r="VA16" s="65"/>
      <c r="VB16" s="463" t="str">
        <f>INDEX(StdDisziplinen[Bewertung],UZ$3)</f>
        <v>Sekunden</v>
      </c>
      <c r="VC16" s="464"/>
      <c r="VD16" s="465"/>
      <c r="VF16" s="139" t="str">
        <f>$Q$16</f>
        <v>2. OS</v>
      </c>
      <c r="VG16" s="65"/>
      <c r="VH16" s="463" t="str">
        <f>INDEX(StdDisziplinen[Bewertung],VF$3)</f>
        <v>Sekunden</v>
      </c>
      <c r="VI16" s="464"/>
      <c r="VJ16" s="465"/>
      <c r="VL16" s="592" t="s">
        <v>171</v>
      </c>
      <c r="VM16" s="65"/>
      <c r="VN16" s="18">
        <f>INDEX(StdDisziplinen[Mathematisch],VL$3)</f>
        <v>1</v>
      </c>
      <c r="VO16" s="38">
        <f>INDEX(StdDisziplinen[StdStellen],VL$3)</f>
        <v>0</v>
      </c>
      <c r="VP16" s="65"/>
      <c r="VQ16" s="65"/>
      <c r="VR16" s="65"/>
      <c r="VS16" s="65"/>
      <c r="VT16" s="65"/>
      <c r="VU16" s="64"/>
    </row>
    <row r="17" spans="1:593" s="66" customFormat="1" ht="6" customHeight="1" x14ac:dyDescent="0.3">
      <c r="A17" s="64"/>
      <c r="B17" s="65"/>
      <c r="C17" s="65"/>
      <c r="D17" s="65"/>
      <c r="E17" s="65"/>
      <c r="F17" s="65"/>
      <c r="G17" s="87"/>
      <c r="H17" s="65"/>
      <c r="I17" s="65"/>
      <c r="J17" s="65"/>
      <c r="K17" s="65"/>
      <c r="L17" s="65"/>
      <c r="M17" s="65"/>
      <c r="N17" s="65"/>
      <c r="O17" s="65"/>
      <c r="Q17" s="87"/>
      <c r="R17" s="65"/>
      <c r="S17" s="65"/>
      <c r="T17" s="65"/>
      <c r="U17" s="65"/>
      <c r="V17" s="65"/>
      <c r="W17" s="65"/>
      <c r="X17" s="65"/>
      <c r="Y17" s="65"/>
      <c r="AA17" s="87"/>
      <c r="AB17" s="65"/>
      <c r="AC17" s="65"/>
      <c r="AD17" s="65"/>
      <c r="AE17" s="65"/>
      <c r="AF17" s="65"/>
      <c r="AG17" s="65"/>
      <c r="AH17" s="65"/>
      <c r="AI17" s="65"/>
      <c r="AK17" s="87"/>
      <c r="AL17" s="65"/>
      <c r="AM17" s="65"/>
      <c r="AN17" s="65"/>
      <c r="AO17" s="65"/>
      <c r="AP17" s="65"/>
      <c r="AQ17" s="65"/>
      <c r="AR17" s="65"/>
      <c r="AS17" s="65"/>
      <c r="AU17" s="87"/>
      <c r="AV17" s="65"/>
      <c r="AW17" s="65"/>
      <c r="AX17" s="65"/>
      <c r="AY17" s="65"/>
      <c r="AZ17" s="65"/>
      <c r="BA17" s="65"/>
      <c r="BB17" s="65"/>
      <c r="BC17" s="65"/>
      <c r="BE17" s="87"/>
      <c r="BF17" s="65"/>
      <c r="BG17" s="65"/>
      <c r="BH17" s="65"/>
      <c r="BI17" s="65"/>
      <c r="BJ17" s="65"/>
      <c r="BK17" s="65"/>
      <c r="BL17" s="65"/>
      <c r="BM17" s="65"/>
      <c r="BO17" s="87"/>
      <c r="BP17" s="65"/>
      <c r="BQ17" s="65"/>
      <c r="BR17" s="65"/>
      <c r="BS17" s="65"/>
      <c r="BT17" s="65"/>
      <c r="BU17" s="65"/>
      <c r="BV17" s="65"/>
      <c r="BW17" s="65"/>
      <c r="BY17" s="87"/>
      <c r="BZ17" s="65"/>
      <c r="CA17" s="65"/>
      <c r="CB17" s="65"/>
      <c r="CC17" s="65"/>
      <c r="CD17" s="65"/>
      <c r="CE17" s="65"/>
      <c r="CF17" s="65"/>
      <c r="CG17" s="65"/>
      <c r="CI17" s="87"/>
      <c r="CJ17" s="65"/>
      <c r="CK17" s="65"/>
      <c r="CL17" s="65"/>
      <c r="CM17" s="65"/>
      <c r="CN17" s="65"/>
      <c r="CO17" s="65"/>
      <c r="CP17" s="65"/>
      <c r="CQ17" s="65"/>
      <c r="CR17" s="65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536"/>
      <c r="FB17" s="67"/>
      <c r="FC17" s="68"/>
      <c r="FE17" s="87"/>
      <c r="FF17" s="65"/>
      <c r="FG17" s="65"/>
      <c r="FH17" s="65"/>
      <c r="FI17" s="65"/>
      <c r="FK17" s="87"/>
      <c r="FL17" s="65"/>
      <c r="FM17" s="65"/>
      <c r="FN17" s="65"/>
      <c r="FO17" s="65"/>
      <c r="FQ17" s="87"/>
      <c r="FR17" s="65"/>
      <c r="FS17" s="65"/>
      <c r="FT17" s="65"/>
      <c r="FU17" s="65"/>
      <c r="FW17" s="87"/>
      <c r="FX17" s="65"/>
      <c r="FY17" s="65"/>
      <c r="FZ17" s="65"/>
      <c r="GA17" s="65"/>
      <c r="GC17" s="87"/>
      <c r="GD17" s="65"/>
      <c r="GE17" s="65"/>
      <c r="GF17" s="65"/>
      <c r="GG17" s="65"/>
      <c r="GI17" s="87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7"/>
      <c r="GV17" s="67"/>
      <c r="GW17" s="67"/>
      <c r="GX17" s="67"/>
      <c r="GY17" s="67"/>
      <c r="GZ17" s="67"/>
      <c r="HA17" s="216"/>
      <c r="HB17" s="216"/>
      <c r="HC17" s="216"/>
      <c r="HD17" s="216"/>
      <c r="HE17" s="216"/>
      <c r="HF17" s="216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414"/>
      <c r="JA17" s="67"/>
      <c r="JB17" s="65"/>
      <c r="JC17" s="65"/>
      <c r="JD17" s="65"/>
      <c r="JE17" s="65"/>
      <c r="JF17" s="65"/>
      <c r="JG17" s="65"/>
      <c r="JH17" s="65"/>
      <c r="JJ17" s="87"/>
      <c r="JK17" s="65"/>
      <c r="JL17" s="65"/>
      <c r="JM17" s="65"/>
      <c r="JN17" s="65"/>
      <c r="JO17" s="65"/>
      <c r="JP17" s="65"/>
      <c r="JQ17" s="65"/>
      <c r="JR17" s="65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416"/>
      <c r="KF17" s="67"/>
      <c r="KG17" s="68"/>
      <c r="KI17" s="87"/>
      <c r="KJ17" s="65"/>
      <c r="KK17" s="65"/>
      <c r="KL17" s="65"/>
      <c r="KM17" s="65"/>
      <c r="KN17" s="65"/>
      <c r="KO17" s="65"/>
      <c r="KP17" s="65"/>
      <c r="KQ17" s="65"/>
      <c r="KS17" s="87"/>
      <c r="KT17" s="65"/>
      <c r="KU17" s="65"/>
      <c r="KV17" s="65"/>
      <c r="KW17" s="65"/>
      <c r="KX17" s="65"/>
      <c r="KY17" s="65"/>
      <c r="KZ17" s="65"/>
      <c r="LA17" s="65"/>
      <c r="LC17" s="87"/>
      <c r="LD17" s="65"/>
      <c r="LE17" s="65"/>
      <c r="LF17" s="65"/>
      <c r="LG17" s="65"/>
      <c r="LH17" s="65"/>
      <c r="LI17" s="65"/>
      <c r="LJ17" s="65"/>
      <c r="LK17" s="65"/>
      <c r="LL17" s="67"/>
      <c r="LM17" s="65"/>
      <c r="LN17" s="65"/>
      <c r="LO17" s="65"/>
      <c r="LP17" s="65"/>
      <c r="LQ17" s="65"/>
      <c r="LR17" s="216"/>
      <c r="LS17" s="216"/>
      <c r="LT17" s="216"/>
      <c r="LU17" s="262"/>
      <c r="LV17" s="262"/>
      <c r="LW17" s="262"/>
      <c r="LX17" s="216"/>
      <c r="LY17" s="216"/>
      <c r="LZ17" s="216"/>
      <c r="MA17" s="216"/>
      <c r="MB17" s="216"/>
      <c r="MC17" s="216"/>
      <c r="MD17" s="216"/>
      <c r="ME17" s="216"/>
      <c r="MF17" s="67"/>
      <c r="MG17" s="67"/>
      <c r="MH17" s="67"/>
      <c r="MI17" s="65"/>
      <c r="MJ17" s="416"/>
      <c r="MK17" s="67"/>
      <c r="ML17" s="87"/>
      <c r="MM17" s="65"/>
      <c r="MN17" s="65"/>
      <c r="MO17" s="65"/>
      <c r="MP17" s="65"/>
      <c r="MQ17" s="65"/>
      <c r="MR17" s="65"/>
      <c r="MS17" s="65"/>
      <c r="MT17" s="65"/>
      <c r="MV17" s="87"/>
      <c r="MW17" s="65"/>
      <c r="MX17" s="65"/>
      <c r="MY17" s="65"/>
      <c r="MZ17" s="65"/>
      <c r="NA17" s="65"/>
      <c r="NB17" s="65"/>
      <c r="NC17" s="65"/>
      <c r="ND17" s="65"/>
      <c r="NF17" s="87"/>
      <c r="NG17" s="65"/>
      <c r="NH17" s="65"/>
      <c r="NI17" s="65"/>
      <c r="NJ17" s="65"/>
      <c r="NK17" s="65"/>
      <c r="NL17" s="65"/>
      <c r="NM17" s="65"/>
      <c r="NN17" s="65"/>
      <c r="NP17" s="87"/>
      <c r="NQ17" s="65"/>
      <c r="NR17" s="65"/>
      <c r="NS17" s="65"/>
      <c r="NT17" s="65"/>
      <c r="NU17" s="65"/>
      <c r="NV17" s="65"/>
      <c r="NW17" s="65"/>
      <c r="NX17" s="65"/>
      <c r="NZ17" s="87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7"/>
      <c r="OP17" s="67"/>
      <c r="OQ17" s="67"/>
      <c r="OR17" s="67"/>
      <c r="OS17" s="67"/>
      <c r="OT17" s="67"/>
      <c r="OU17" s="221"/>
      <c r="OV17" s="216"/>
      <c r="OW17" s="216"/>
      <c r="OX17" s="216"/>
      <c r="OY17" s="216"/>
      <c r="OZ17" s="216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216"/>
      <c r="RG17" s="216"/>
      <c r="RH17" s="216"/>
      <c r="RI17" s="216"/>
      <c r="RJ17" s="216"/>
      <c r="RK17" s="216"/>
      <c r="RL17" s="216"/>
      <c r="RM17" s="216"/>
      <c r="RN17" s="216"/>
      <c r="RO17" s="216"/>
      <c r="RP17" s="67"/>
      <c r="RQ17" s="67"/>
      <c r="RR17" s="67"/>
      <c r="RS17" s="67"/>
      <c r="RT17" s="67"/>
      <c r="RU17" s="67"/>
      <c r="RV17" s="416"/>
      <c r="RW17" s="67"/>
      <c r="RX17" s="68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416"/>
      <c r="TH17" s="137"/>
      <c r="TK17" s="146"/>
      <c r="TM17" s="137"/>
      <c r="TO17" s="65"/>
      <c r="TT17" s="67"/>
      <c r="TU17" s="67"/>
      <c r="TV17" s="140"/>
      <c r="TW17" s="65"/>
      <c r="TX17" s="65"/>
      <c r="TY17" s="65"/>
      <c r="TZ17" s="65"/>
      <c r="UB17" s="142"/>
      <c r="UC17" s="65"/>
      <c r="UD17" s="65"/>
      <c r="UE17" s="65"/>
      <c r="UF17" s="65"/>
      <c r="UH17" s="149"/>
      <c r="UI17" s="65"/>
      <c r="UJ17" s="65"/>
      <c r="UK17" s="65"/>
      <c r="UL17" s="65"/>
      <c r="UM17" s="65"/>
      <c r="UN17" s="65"/>
      <c r="UO17" s="65"/>
      <c r="UQ17" s="149"/>
      <c r="UR17" s="65"/>
      <c r="US17" s="65"/>
      <c r="UT17" s="65"/>
      <c r="UU17" s="65"/>
      <c r="UV17" s="65"/>
      <c r="UW17" s="65"/>
      <c r="UX17" s="65"/>
      <c r="UZ17" s="142"/>
      <c r="VA17" s="65"/>
      <c r="VB17" s="65"/>
      <c r="VC17" s="65"/>
      <c r="VD17" s="65"/>
      <c r="VF17" s="142"/>
      <c r="VG17" s="65"/>
      <c r="VH17" s="65"/>
      <c r="VI17" s="65"/>
      <c r="VJ17" s="65"/>
      <c r="VL17" s="87"/>
      <c r="VM17" s="65"/>
      <c r="VN17" s="65"/>
      <c r="VO17" s="65"/>
      <c r="VP17" s="65"/>
      <c r="VQ17" s="65"/>
      <c r="VR17" s="65"/>
      <c r="VS17" s="65"/>
      <c r="VT17" s="65"/>
      <c r="VU17" s="64"/>
    </row>
    <row r="18" spans="1:593" s="38" customFormat="1" x14ac:dyDescent="0.3">
      <c r="A18" s="34"/>
      <c r="B18" s="38" t="s">
        <v>89</v>
      </c>
      <c r="C18" s="38" t="s">
        <v>90</v>
      </c>
      <c r="D18" s="43"/>
      <c r="E18" s="29" t="s">
        <v>129</v>
      </c>
      <c r="G18" s="28" t="s">
        <v>22</v>
      </c>
      <c r="I18" s="18" t="s">
        <v>181</v>
      </c>
      <c r="K18" s="66">
        <f>INDEX(StdDisziplinen[Vergleichstyp],G$3)</f>
        <v>-1</v>
      </c>
      <c r="L18" s="28" t="s">
        <v>139</v>
      </c>
      <c r="M18" s="18"/>
      <c r="O18" s="28" t="s">
        <v>7</v>
      </c>
      <c r="Q18" s="28" t="s">
        <v>22</v>
      </c>
      <c r="S18" s="18" t="s">
        <v>181</v>
      </c>
      <c r="U18" s="66">
        <f>INDEX(StdDisziplinen[Vergleichstyp],Q$3)</f>
        <v>-1</v>
      </c>
      <c r="V18" s="18" t="s">
        <v>139</v>
      </c>
      <c r="W18" s="18"/>
      <c r="Y18" s="28" t="s">
        <v>7</v>
      </c>
      <c r="AA18" s="28" t="s">
        <v>22</v>
      </c>
      <c r="AC18" s="18" t="s">
        <v>181</v>
      </c>
      <c r="AE18" s="66">
        <f>INDEX(StdDisziplinen[Vergleichstyp],AA$3)</f>
        <v>-1</v>
      </c>
      <c r="AF18" s="18" t="s">
        <v>139</v>
      </c>
      <c r="AG18" s="18"/>
      <c r="AI18" s="28" t="s">
        <v>7</v>
      </c>
      <c r="AK18" s="28" t="s">
        <v>22</v>
      </c>
      <c r="AM18" s="18" t="s">
        <v>181</v>
      </c>
      <c r="AO18" s="66">
        <f>INDEX(StdDisziplinen[Vergleichstyp],AK$3)</f>
        <v>1</v>
      </c>
      <c r="AP18" s="18" t="s">
        <v>139</v>
      </c>
      <c r="AQ18" s="18"/>
      <c r="AS18" s="28" t="s">
        <v>7</v>
      </c>
      <c r="AU18" s="28" t="s">
        <v>22</v>
      </c>
      <c r="AW18" s="18" t="s">
        <v>181</v>
      </c>
      <c r="AY18" s="66">
        <f>INDEX(StdDisziplinen[Vergleichstyp],AU$3)</f>
        <v>1</v>
      </c>
      <c r="AZ18" s="18" t="s">
        <v>139</v>
      </c>
      <c r="BA18" s="18"/>
      <c r="BC18" s="28" t="s">
        <v>7</v>
      </c>
      <c r="BE18" s="28" t="s">
        <v>22</v>
      </c>
      <c r="BG18" s="18" t="s">
        <v>181</v>
      </c>
      <c r="BI18" s="66">
        <f>INDEX(StdDisziplinen[Vergleichstyp],BE$3)</f>
        <v>1</v>
      </c>
      <c r="BJ18" s="18" t="s">
        <v>139</v>
      </c>
      <c r="BK18" s="18"/>
      <c r="BM18" s="28" t="s">
        <v>7</v>
      </c>
      <c r="BO18" s="28" t="s">
        <v>22</v>
      </c>
      <c r="BQ18" s="18" t="s">
        <v>181</v>
      </c>
      <c r="BS18" s="66">
        <f>INDEX(StdDisziplinen[Vergleichstyp],BO$3)</f>
        <v>1</v>
      </c>
      <c r="BT18" s="18" t="s">
        <v>139</v>
      </c>
      <c r="BU18" s="18"/>
      <c r="BW18" s="28" t="s">
        <v>7</v>
      </c>
      <c r="BY18" s="28" t="s">
        <v>22</v>
      </c>
      <c r="CA18" s="18" t="s">
        <v>181</v>
      </c>
      <c r="CC18" s="66">
        <f>INDEX(StdDisziplinen[Vergleichstyp],BY$3)</f>
        <v>1</v>
      </c>
      <c r="CD18" s="18" t="s">
        <v>139</v>
      </c>
      <c r="CE18" s="18"/>
      <c r="CG18" s="28" t="s">
        <v>7</v>
      </c>
      <c r="CI18" s="28" t="s">
        <v>22</v>
      </c>
      <c r="CK18" s="18" t="s">
        <v>181</v>
      </c>
      <c r="CM18" s="66">
        <f>INDEX(StdDisziplinen[Vergleichstyp],CI$3)</f>
        <v>1</v>
      </c>
      <c r="CN18" s="18" t="s">
        <v>139</v>
      </c>
      <c r="CO18" s="18"/>
      <c r="CQ18" s="28" t="s">
        <v>7</v>
      </c>
      <c r="CR18" s="28"/>
      <c r="CU18" s="39"/>
      <c r="CV18" s="39"/>
      <c r="CW18" s="39"/>
      <c r="CX18" s="67"/>
      <c r="CY18" s="67"/>
      <c r="CZ18" s="67"/>
      <c r="DA18" s="67"/>
      <c r="DB18" s="67"/>
      <c r="DC18" s="67"/>
      <c r="DD18" s="39"/>
      <c r="DE18" s="39"/>
      <c r="DF18" s="39"/>
      <c r="DG18" s="39"/>
      <c r="DH18" s="39"/>
      <c r="DI18" s="67"/>
      <c r="DJ18" s="67"/>
      <c r="DK18" s="67"/>
      <c r="DL18" s="67"/>
      <c r="DM18" s="67"/>
      <c r="DN18" s="67"/>
      <c r="DO18" s="39"/>
      <c r="DP18" s="39"/>
      <c r="DQ18" s="39"/>
      <c r="DR18" s="39"/>
      <c r="DS18" s="39"/>
      <c r="DT18" s="67"/>
      <c r="DU18" s="67"/>
      <c r="DV18" s="67"/>
      <c r="DW18" s="67"/>
      <c r="DX18" s="67"/>
      <c r="DY18" s="67"/>
      <c r="DZ18" s="39"/>
      <c r="EA18" s="39"/>
      <c r="EB18" s="39"/>
      <c r="EC18" s="39"/>
      <c r="ED18" s="39"/>
      <c r="EE18" s="39"/>
      <c r="EF18" s="39"/>
      <c r="EG18" s="39"/>
      <c r="EH18" s="67"/>
      <c r="EI18" s="67"/>
      <c r="EJ18" s="67"/>
      <c r="EK18" s="67"/>
      <c r="EL18" s="67"/>
      <c r="EM18" s="67"/>
      <c r="EN18" s="39"/>
      <c r="EO18" s="39"/>
      <c r="EP18" s="39"/>
      <c r="EQ18" s="39"/>
      <c r="ER18" s="39"/>
      <c r="ES18" s="39"/>
      <c r="ET18" s="39"/>
      <c r="EU18" s="202"/>
      <c r="EV18" s="39"/>
      <c r="EW18" s="39"/>
      <c r="EX18" s="39"/>
      <c r="EY18" s="39"/>
      <c r="EZ18" s="39"/>
      <c r="FA18" s="536"/>
      <c r="FB18" s="39"/>
      <c r="FC18" s="63"/>
      <c r="FE18" s="28" t="s">
        <v>22</v>
      </c>
      <c r="FG18" s="18"/>
      <c r="FH18" s="18"/>
      <c r="FI18" s="18"/>
      <c r="FK18" s="28" t="s">
        <v>22</v>
      </c>
      <c r="FM18" s="18"/>
      <c r="FN18" s="18"/>
      <c r="FO18" s="18"/>
      <c r="FQ18" s="28" t="s">
        <v>22</v>
      </c>
      <c r="FS18" s="18"/>
      <c r="FT18" s="18"/>
      <c r="FU18" s="18"/>
      <c r="FW18" s="28" t="s">
        <v>22</v>
      </c>
      <c r="FY18" s="18"/>
      <c r="FZ18" s="18"/>
      <c r="GA18" s="18"/>
      <c r="GC18" s="28" t="s">
        <v>22</v>
      </c>
      <c r="GE18" s="18"/>
      <c r="GF18" s="18"/>
      <c r="GG18" s="18"/>
      <c r="GI18" s="28" t="s">
        <v>22</v>
      </c>
      <c r="GK18" s="18"/>
      <c r="GL18" s="18"/>
      <c r="GM18" s="18"/>
      <c r="GN18" s="28"/>
      <c r="GO18" s="18"/>
      <c r="GP18" s="28"/>
      <c r="GQ18" s="28"/>
      <c r="GR18" s="28"/>
      <c r="GS18" s="28"/>
      <c r="GT18" s="28"/>
      <c r="GU18" s="39"/>
      <c r="GV18" s="39"/>
      <c r="GW18" s="39"/>
      <c r="GX18" s="39"/>
      <c r="GZ18" s="39"/>
      <c r="HA18" s="216"/>
      <c r="HB18" s="216"/>
      <c r="HC18" s="216"/>
      <c r="HD18" s="216"/>
      <c r="HE18" s="216"/>
      <c r="HF18" s="216"/>
      <c r="HG18" s="39"/>
      <c r="HH18" s="39"/>
      <c r="HI18" s="39"/>
      <c r="HJ18" s="39"/>
      <c r="HK18" s="39"/>
      <c r="HL18" s="39"/>
      <c r="HM18" s="39"/>
      <c r="HN18" s="39"/>
      <c r="HO18" s="39"/>
      <c r="HP18" s="293"/>
      <c r="HQ18" s="39"/>
      <c r="HR18" s="39"/>
      <c r="HS18" s="39"/>
      <c r="HT18" s="39"/>
      <c r="HU18" s="293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414"/>
      <c r="JA18" s="39"/>
      <c r="JB18" s="18" t="s">
        <v>181</v>
      </c>
      <c r="JD18" s="66">
        <f>INDEX(StdDisziplinen[Vergleichstyp],$FE$3)</f>
        <v>1</v>
      </c>
      <c r="JE18" s="18" t="s">
        <v>139</v>
      </c>
      <c r="JF18" s="18"/>
      <c r="JH18" s="28" t="s">
        <v>7</v>
      </c>
      <c r="JJ18" s="28" t="s">
        <v>22</v>
      </c>
      <c r="JL18" s="18" t="s">
        <v>181</v>
      </c>
      <c r="JN18" s="66">
        <f>INDEX(StdDisziplinen[Vergleichstyp],JJ$3)</f>
        <v>1</v>
      </c>
      <c r="JO18" s="18" t="s">
        <v>139</v>
      </c>
      <c r="JP18" s="18"/>
      <c r="JR18" s="28" t="s">
        <v>7</v>
      </c>
      <c r="JS18" s="39"/>
      <c r="JT18" s="39"/>
      <c r="JU18" s="39"/>
      <c r="JV18" s="39"/>
      <c r="JW18" s="39"/>
      <c r="JX18" s="39"/>
      <c r="JY18" s="39"/>
      <c r="JZ18" s="39"/>
      <c r="KA18" s="39"/>
      <c r="KD18" s="18"/>
      <c r="KE18" s="416"/>
      <c r="KF18" s="39"/>
      <c r="KG18" s="63"/>
      <c r="KI18" s="28" t="s">
        <v>22</v>
      </c>
      <c r="KK18" s="18" t="s">
        <v>181</v>
      </c>
      <c r="KM18" s="66">
        <f>INDEX(StdDisziplinen[Vergleichstyp],KI$3)</f>
        <v>1</v>
      </c>
      <c r="KN18" s="18" t="s">
        <v>139</v>
      </c>
      <c r="KO18" s="18"/>
      <c r="KQ18" s="28" t="s">
        <v>7</v>
      </c>
      <c r="KS18" s="28" t="s">
        <v>22</v>
      </c>
      <c r="KU18" s="18" t="s">
        <v>181</v>
      </c>
      <c r="KW18" s="66">
        <f>INDEX(StdDisziplinen[Vergleichstyp],KS$3)</f>
        <v>1</v>
      </c>
      <c r="KX18" s="18" t="s">
        <v>139</v>
      </c>
      <c r="KY18" s="18"/>
      <c r="LA18" s="28" t="s">
        <v>7</v>
      </c>
      <c r="LC18" s="28" t="s">
        <v>22</v>
      </c>
      <c r="LE18" s="18" t="s">
        <v>181</v>
      </c>
      <c r="LG18" s="66">
        <f>INDEX(StdDisziplinen[Vergleichstyp],LC$3)</f>
        <v>1</v>
      </c>
      <c r="LH18" s="18" t="s">
        <v>139</v>
      </c>
      <c r="LI18" s="18"/>
      <c r="LK18" s="28" t="s">
        <v>7</v>
      </c>
      <c r="LL18" s="39"/>
      <c r="LM18" s="28"/>
      <c r="LN18" s="28"/>
      <c r="LO18" s="28"/>
      <c r="LP18" s="220"/>
      <c r="LQ18" s="28"/>
      <c r="LR18" s="216"/>
      <c r="LS18" s="216"/>
      <c r="LT18" s="216"/>
      <c r="LU18" s="298"/>
      <c r="LV18" s="298"/>
      <c r="LW18" s="298"/>
      <c r="LX18" s="216"/>
      <c r="LY18" s="216"/>
      <c r="LZ18" s="216"/>
      <c r="MA18" s="216"/>
      <c r="MB18" s="216"/>
      <c r="MC18" s="18"/>
      <c r="MD18" s="216"/>
      <c r="ME18" s="299"/>
      <c r="MF18" s="39"/>
      <c r="MG18" s="39"/>
      <c r="MH18" s="39"/>
      <c r="MI18" s="28"/>
      <c r="MJ18" s="416"/>
      <c r="MK18" s="39"/>
      <c r="ML18" s="28" t="s">
        <v>22</v>
      </c>
      <c r="MN18" s="18" t="s">
        <v>181</v>
      </c>
      <c r="MP18" s="66">
        <f>INDEX(StdDisziplinen[Vergleichstyp],ML$3)</f>
        <v>-1</v>
      </c>
      <c r="MQ18" s="18" t="s">
        <v>139</v>
      </c>
      <c r="MR18" s="18"/>
      <c r="MT18" s="28" t="s">
        <v>7</v>
      </c>
      <c r="MV18" s="28" t="s">
        <v>22</v>
      </c>
      <c r="MX18" s="18" t="s">
        <v>181</v>
      </c>
      <c r="MZ18" s="66">
        <f>INDEX(StdDisziplinen[Vergleichstyp],MV$3)</f>
        <v>-1</v>
      </c>
      <c r="NA18" s="18" t="s">
        <v>139</v>
      </c>
      <c r="NB18" s="18"/>
      <c r="ND18" s="28" t="s">
        <v>7</v>
      </c>
      <c r="NF18" s="28" t="s">
        <v>22</v>
      </c>
      <c r="NH18" s="18" t="s">
        <v>181</v>
      </c>
      <c r="NJ18" s="66">
        <f>INDEX(StdDisziplinen[Vergleichstyp],NF$3)</f>
        <v>-1</v>
      </c>
      <c r="NK18" s="18" t="s">
        <v>139</v>
      </c>
      <c r="NL18" s="18"/>
      <c r="NN18" s="28" t="s">
        <v>7</v>
      </c>
      <c r="NP18" s="28" t="s">
        <v>22</v>
      </c>
      <c r="NR18" s="18" t="s">
        <v>181</v>
      </c>
      <c r="NT18" s="66">
        <f>INDEX(StdDisziplinen[Vergleichstyp],NP$3)</f>
        <v>-1</v>
      </c>
      <c r="NU18" s="18" t="s">
        <v>139</v>
      </c>
      <c r="NV18" s="18"/>
      <c r="NX18" s="28" t="s">
        <v>7</v>
      </c>
      <c r="NZ18" s="28" t="s">
        <v>22</v>
      </c>
      <c r="OB18" s="18" t="s">
        <v>181</v>
      </c>
      <c r="OD18" s="66">
        <f>INDEX(StdDisziplinen[Vergleichstyp],NZ$3)</f>
        <v>1</v>
      </c>
      <c r="OE18" s="18" t="s">
        <v>139</v>
      </c>
      <c r="OF18" s="18"/>
      <c r="OH18" s="28" t="s">
        <v>7</v>
      </c>
      <c r="OI18" s="28"/>
      <c r="OJ18" s="28"/>
      <c r="OK18" s="28"/>
      <c r="OL18" s="28"/>
      <c r="OM18" s="28"/>
      <c r="ON18" s="28"/>
      <c r="OO18" s="39"/>
      <c r="OP18" s="39"/>
      <c r="OQ18" s="39"/>
      <c r="OR18" s="39"/>
      <c r="OT18" s="39"/>
      <c r="OU18" s="221"/>
      <c r="OV18" s="216"/>
      <c r="OW18" s="216"/>
      <c r="OX18" s="216"/>
      <c r="OY18" s="216"/>
      <c r="OZ18" s="216"/>
      <c r="PA18" s="39"/>
      <c r="PB18" s="39"/>
      <c r="PC18" s="39"/>
      <c r="PD18" s="39"/>
      <c r="PE18" s="293"/>
      <c r="PF18" s="39"/>
      <c r="PG18" s="39"/>
      <c r="PH18" s="39"/>
      <c r="PI18" s="39"/>
      <c r="PJ18" s="293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216"/>
      <c r="RG18" s="216"/>
      <c r="RH18" s="216"/>
      <c r="RI18" s="216"/>
      <c r="RJ18" s="216"/>
      <c r="RK18" s="216"/>
      <c r="RL18" s="216"/>
      <c r="RM18" s="216"/>
      <c r="RN18" s="216"/>
      <c r="RO18" s="216"/>
      <c r="RP18" s="39"/>
      <c r="RQ18" s="39"/>
      <c r="RR18" s="39"/>
      <c r="RS18" s="39"/>
      <c r="RT18" s="39"/>
      <c r="RU18" s="39"/>
      <c r="RV18" s="416"/>
      <c r="RW18" s="39"/>
      <c r="RX18" s="63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473"/>
      <c r="TH18" s="593" t="str">
        <f>Stammdaten!$AX$20</f>
        <v>Disziplin</v>
      </c>
      <c r="TJ18" s="39"/>
      <c r="TK18" s="28" t="s">
        <v>25</v>
      </c>
      <c r="TM18" s="28" t="s">
        <v>22</v>
      </c>
      <c r="TO18" s="18" t="s">
        <v>181</v>
      </c>
      <c r="TP18" s="66">
        <f>INDEX(StdDisziplinen[Vergleichstyp],TM$3)</f>
        <v>-1</v>
      </c>
      <c r="TQ18" s="189" t="s">
        <v>139</v>
      </c>
      <c r="TT18" s="189" t="s">
        <v>25</v>
      </c>
      <c r="TU18" s="189"/>
      <c r="TV18" s="28" t="s">
        <v>22</v>
      </c>
      <c r="TX18" s="18" t="s">
        <v>139</v>
      </c>
      <c r="TY18" s="18"/>
      <c r="TZ18" s="28" t="s">
        <v>7</v>
      </c>
      <c r="UB18" s="28" t="s">
        <v>22</v>
      </c>
      <c r="UD18" s="18" t="s">
        <v>139</v>
      </c>
      <c r="UE18" s="18"/>
      <c r="UF18" s="28" t="s">
        <v>7</v>
      </c>
      <c r="UH18" s="28" t="s">
        <v>22</v>
      </c>
      <c r="UJ18" s="18" t="s">
        <v>181</v>
      </c>
      <c r="UK18" s="66">
        <f>INDEX(StdDisziplinen[Vergleichstyp],UH$3)</f>
        <v>1</v>
      </c>
      <c r="UL18" s="18" t="s">
        <v>139</v>
      </c>
      <c r="UM18" s="18"/>
      <c r="UO18" s="28" t="s">
        <v>7</v>
      </c>
      <c r="UQ18" s="28" t="s">
        <v>22</v>
      </c>
      <c r="US18" s="18" t="s">
        <v>181</v>
      </c>
      <c r="UT18" s="66">
        <f>INDEX(StdDisziplinen[Vergleichstyp],UQ$3)</f>
        <v>1</v>
      </c>
      <c r="UU18" s="18" t="s">
        <v>139</v>
      </c>
      <c r="UV18" s="18"/>
      <c r="UX18" s="28" t="s">
        <v>7</v>
      </c>
      <c r="UZ18" s="28" t="s">
        <v>22</v>
      </c>
      <c r="VB18" s="18" t="s">
        <v>139</v>
      </c>
      <c r="VC18" s="18"/>
      <c r="VD18" s="28" t="s">
        <v>7</v>
      </c>
      <c r="VF18" s="28" t="s">
        <v>22</v>
      </c>
      <c r="VH18" s="18" t="s">
        <v>139</v>
      </c>
      <c r="VI18" s="18"/>
      <c r="VJ18" s="28" t="s">
        <v>7</v>
      </c>
      <c r="VL18" s="28" t="s">
        <v>22</v>
      </c>
      <c r="VN18" s="18" t="s">
        <v>181</v>
      </c>
      <c r="VP18" s="66">
        <f>INDEX(StdDisziplinen[Vergleichstyp],VL$3)</f>
        <v>1</v>
      </c>
      <c r="VQ18" s="18" t="s">
        <v>139</v>
      </c>
      <c r="VR18" s="18"/>
      <c r="VT18" s="28" t="s">
        <v>7</v>
      </c>
      <c r="VU18" s="34"/>
    </row>
    <row r="19" spans="1:593" x14ac:dyDescent="0.3">
      <c r="A19" s="30">
        <v>1</v>
      </c>
      <c r="B19" s="589"/>
      <c r="C19" s="589"/>
      <c r="E19" s="591"/>
      <c r="G19" s="37"/>
      <c r="H19" s="190"/>
      <c r="I19" s="154">
        <f>IF(I$16,IF(J$16=0.5,MROUND(SechzigmLaufResultat[[#This Row],[Resultat]],J$16),ROUND(SechzigmLaufResultat[[#This Row],[Resultat]],J$16)),ROUNDDOWN(SechzigmLaufResultat[[#This Row],[Resultat]],J$16))</f>
        <v>0</v>
      </c>
      <c r="J19" s="191" t="str">
        <f>IF(OR(Geschlecht[[#This Row],[Geschlecht (Skala)]]="",G$16=""),"",MID(Geschlecht[[#This Row],[Geschlecht (Skala)]],1,1)&amp;MID(G$16,1,1))</f>
        <v/>
      </c>
      <c r="K19" s="190" t="str">
        <f>IF(OR(J19="",SechzigmLaufResultat[[#This Row],[Resultat]]=""),"",REPLACE(INDEX(StdDisziplinen[TabÜberschriftResultat],G$3),FIND("X",INDEX(StdDisziplinen[TabÜberschriftResultat],G$3),1),2,J19))</f>
        <v/>
      </c>
      <c r="L19" s="45" t="str">
        <f ca="1">IF(K19="","",IF(OR(SechzigmLaufResultat[[#This Row],[Resultat]]=Stammdaten!$AX$22,SechzigmLaufResultat[[#This Row],[Resultat]]=Stammdaten!$AX$19),Stammdaten!$AX$19,IF(ISNA(INDEX(INDIRECT(K19),MATCH(SechzigmLaufGerundet[[#This Row],[Rundung]],INDIRECT(K19),K$18))),IF(K$18=-1,LARGE(INDIRECT(K19),1),SMALL(INDIRECT(K19),1)),INDEX(INDIRECT(K19),MATCH(SechzigmLaufGerundet[[#This Row],[Rundung]],INDIRECT(K19),K$18)))))</f>
        <v/>
      </c>
      <c r="N19" s="18" t="str">
        <f ca="1">IF(SechzigmLaufSkalawert[[#This Row],[Skala-Wert]]="","",REPLACE(INDEX(StdDisziplinen[TabÜberschriftNote],G$3),FIND("X",INDEX(StdDisziplinen[TabÜberschriftNote],G$3),1),2,J19))</f>
        <v/>
      </c>
      <c r="O19" s="31" t="str">
        <f ca="1">IF(OR(N19="",SechzigmLaufSkalawert[[#This Row],[Skala-Wert]]=Stammdaten!$AX$19),"",INDEX(INDIRECT(N19),MATCH(SechzigmLaufSkalawert[[#This Row],[Skala-Wert]],INDIRECT(K19),0)))</f>
        <v/>
      </c>
      <c r="P19" s="31"/>
      <c r="Q19" s="37"/>
      <c r="R19" s="190"/>
      <c r="S19" s="154">
        <f>IF(S$16,IF(T$16=0.5,MROUND(AchtzigmLaufResultat[[#This Row],[Resultat]],T$16),ROUND(AchtzigmLaufResultat[[#This Row],[Resultat]],T$16)),ROUNDDOWN(AchtzigmLaufResultat[[#This Row],[Resultat]],T$16))</f>
        <v>0</v>
      </c>
      <c r="T19" s="191" t="str">
        <f>IF(OR(Geschlecht[[#This Row],[Geschlecht (Skala)]]="",Q$16=""),"",MID(Geschlecht[[#This Row],[Geschlecht (Skala)]],1,1)&amp;MID(Q$16,1,1))</f>
        <v/>
      </c>
      <c r="U19" s="190" t="str">
        <f>IF(OR(T19="",AchtzigmLaufResultat[[#This Row],[Resultat]]=""),"",REPLACE(INDEX(StdDisziplinen[TabÜberschriftResultat],Q$3),FIND("X",INDEX(StdDisziplinen[TabÜberschriftResultat],Q$3),1),2,T19))</f>
        <v/>
      </c>
      <c r="V19" s="45" t="str">
        <f ca="1">IF(U19="","",IF(OR(AchtzigmLaufResultat[[#This Row],[Resultat]]=Stammdaten!$AX$22,AchtzigmLaufResultat[[#This Row],[Resultat]]=Stammdaten!$AX$19),Stammdaten!$AX$19,IF(ISNA(INDEX(INDIRECT(U19),MATCH(AchtzigmLaufGerundet[[#This Row],[Rundung]],INDIRECT(U19),U$18))),IF(U$18=-1,LARGE(INDIRECT(U19),1),SMALL(INDIRECT(U19),1)),INDEX(INDIRECT(U19),MATCH(AchtzigmLaufGerundet[[#This Row],[Rundung]],INDIRECT(U19),U$18)))))</f>
        <v/>
      </c>
      <c r="X19" s="18" t="str">
        <f ca="1">IF(AchtzigmLaufSkalawert[[#This Row],[Skala-Wert]]="","",REPLACE(INDEX(StdDisziplinen[TabÜberschriftNote],Q$3),FIND("X",INDEX(StdDisziplinen[TabÜberschriftNote],Q$3),1),2,T19))</f>
        <v/>
      </c>
      <c r="Y19" s="31" t="str">
        <f ca="1">IF(OR(X19="",AchtzigmLaufSkalawert[[#This Row],[Skala-Wert]]=Stammdaten!$AX$19),"",INDEX(INDIRECT(X19),MATCH(AchtzigmLaufSkalawert[[#This Row],[Skala-Wert]],INDIRECT(U19),0)))</f>
        <v/>
      </c>
      <c r="Z19" s="31"/>
      <c r="AA19" s="37"/>
      <c r="AB19" s="190"/>
      <c r="AC19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19" s="191" t="str">
        <f>IF(OR(Geschlecht[[#This Row],[Geschlecht (Skala)]]="",AA$16=""),"",MID(Geschlecht[[#This Row],[Geschlecht (Skala)]],1,1)&amp;MID(AA$16,1,1))</f>
        <v/>
      </c>
      <c r="AE19" s="190" t="str">
        <f>IF(OR(AD19="",ZwölfMinLaufHalleResultat[[#This Row],[Resultat]]=""),"",REPLACE(INDEX(StdDisziplinen[TabÜberschriftResultat],AA$3),FIND("X",INDEX(StdDisziplinen[TabÜberschriftResultat],AA$3),1),2,AD19))</f>
        <v/>
      </c>
      <c r="AF19" s="31" t="str">
        <f ca="1">IF(AE19="","",IF(OR(ZwölfMinLaufHalleResultat[[#This Row],[Resultat]]=Stammdaten!$AX$22,ZwölfMinLaufHalleResultat[[#This Row],[Resultat]]=Stammdaten!$AX$19),Stammdaten!$AX$19,IF(ISNA(INDEX(INDIRECT(AE19),MATCH(ZwölfMinLaufHalleGerundet[[#This Row],[Rundung]],INDIRECT(AE19),AE$18))),IF(AE$18=-1,LARGE(INDIRECT(AE19),1),SMALL(INDIRECT(AE19),1)),INDEX(INDIRECT(AE19),MATCH(ZwölfMinLaufHalleGerundet[[#This Row],[Rundung]],INDIRECT(AE19),AE$18)))))</f>
        <v/>
      </c>
      <c r="AH19" s="18" t="str">
        <f ca="1">IF(ZwölfMinLaufHalleSkalawert[[#This Row],[Skala-Wert]]="","",REPLACE(INDEX(StdDisziplinen[TabÜberschriftNote],AA$3),FIND("X",INDEX(StdDisziplinen[TabÜberschriftNote],AA$3),1),2,AD19))</f>
        <v/>
      </c>
      <c r="AI19" s="31" t="str">
        <f ca="1">IF(OR(AH19="",ZwölfMinLaufHalleSkalawert[[#This Row],[Skala-Wert]]=Stammdaten!$AX$19),"",INDEX(INDIRECT(AH19),MATCH(ZwölfMinLaufHalleSkalawert[[#This Row],[Skala-Wert]],INDIRECT(AE19),0)))</f>
        <v/>
      </c>
      <c r="AJ19" s="31"/>
      <c r="AK19" s="597"/>
      <c r="AL19" s="190"/>
      <c r="AM19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19" s="191" t="str">
        <f>IF(OR(Geschlecht[[#This Row],[Geschlecht (Skala)]]="",AK$16=""),"",MID(Geschlecht[[#This Row],[Geschlecht (Skala)]],1,1)&amp;MID(AK$16,1,1))</f>
        <v/>
      </c>
      <c r="AO19" s="190" t="str">
        <f>IF(OR(AN19="",ZwölfMinLaufimFreienResultat[[#This Row],[Resultat]]=""),"",REPLACE(INDEX(StdDisziplinen[TabÜberschriftResultat],AK$3),FIND("X",INDEX(StdDisziplinen[TabÜberschriftResultat],AK$3),1),2,AN19))</f>
        <v/>
      </c>
      <c r="AP19" s="192" t="str">
        <f ca="1">IF(AO19="","",IF(OR(ZwölfMinLaufimFreienResultat[[#This Row],[Resultat]]=Stammdaten!$AX$22,ZwölfMinLaufimFreienResultat[[#This Row],[Resultat]]=Stammdaten!$AX$19),Stammdaten!$AX$19,IF(ISNA(INDEX(INDIRECT(AO19),MATCH(ZwölfMinLaufimFreienGerundet[[#This Row],[Rundung]],INDIRECT(AO19),AO$18))),IF(AO$18=-1,LARGE(INDIRECT(AO19),1),SMALL(INDIRECT(AO19),1)),INDEX(INDIRECT(AO19),MATCH(ZwölfMinLaufimFreienGerundet[[#This Row],[Rundung]],INDIRECT(AO19),AO$18)))))</f>
        <v/>
      </c>
      <c r="AR19" s="18" t="str">
        <f ca="1">IF(ZwölfMinLaufimFreienSkalawert[[#This Row],[Skala-Wert]]="","",REPLACE(INDEX(StdDisziplinen[TabÜberschriftNote],AK$3),FIND("X",INDEX(StdDisziplinen[TabÜberschriftNote],AK$3),1),2,AN19))</f>
        <v/>
      </c>
      <c r="AS19" s="31" t="str">
        <f ca="1">IF(OR(AR19="",ZwölfMinLaufimFreienSkalawert[[#This Row],[Skala-Wert]]=Stammdaten!$AX$19),"",INDEX(INDIRECT(AR19),MATCH(ZwölfMinLaufimFreienSkalawert[[#This Row],[Skala-Wert]],INDIRECT(AO19),0)))</f>
        <v/>
      </c>
      <c r="AT19" s="31"/>
      <c r="AU19" s="597"/>
      <c r="AV19" s="190"/>
      <c r="AW19" s="587">
        <f>IF(AW$16,IF(AX$16=0.5,MROUND(HochsprungResultat[[#This Row],[Resultat]],AX$16),ROUND(HochsprungResultat[[#This Row],[Resultat]],AX$16)),ROUNDDOWN(HochsprungResultat[[#This Row],[Resultat]],AX$16))</f>
        <v>0</v>
      </c>
      <c r="AX19" s="191" t="str">
        <f>IF(OR(Geschlecht[[#This Row],[Geschlecht (Skala)]]="",AU$16=""),"",MID(Geschlecht[[#This Row],[Geschlecht (Skala)]],1,1)&amp;MID(AU$16,1,1))</f>
        <v/>
      </c>
      <c r="AY19" s="190" t="str">
        <f>IF(OR(AX19="",HochsprungResultat[[#This Row],[Resultat]]=""),"",REPLACE(INDEX(StdDisziplinen[TabÜberschriftResultat],AU$3),FIND("X",INDEX(StdDisziplinen[TabÜberschriftResultat],AU$3),1),2,AX19))</f>
        <v/>
      </c>
      <c r="AZ19" s="192" t="str">
        <f ca="1">IF(AY19="","",IF(OR(HochsprungResultat[[#This Row],[Resultat]]=Stammdaten!$AX$22,HochsprungResultat[[#This Row],[Resultat]]=Stammdaten!$AX$19),Stammdaten!$AX$19,IF(ISNA(INDEX(INDIRECT(AY19),MATCH(HochsprungGerundet[[#This Row],[Rundung]],INDIRECT(AY19),AY$18))),IF(AY$18=-1,LARGE(INDIRECT(AY19),1),SMALL(INDIRECT(AY19),1)),INDEX(INDIRECT(AY19),MATCH(HochsprungGerundet[[#This Row],[Rundung]],INDIRECT(AY19),AY$18)))))</f>
        <v/>
      </c>
      <c r="BB19" s="18" t="str">
        <f ca="1">IF(HochsprungSkalawert[[#This Row],[Skala-Wert]]="","",REPLACE(INDEX(StdDisziplinen[TabÜberschriftNote],AU$3),FIND("X",INDEX(StdDisziplinen[TabÜberschriftNote],AU$3),1),2,AX19))</f>
        <v/>
      </c>
      <c r="BC19" s="31" t="str">
        <f ca="1">IF(OR(BB19="",HochsprungSkalawert[[#This Row],[Skala-Wert]]=Stammdaten!$AX$19),"",INDEX(INDIRECT(BB19),MATCH(HochsprungSkalawert[[#This Row],[Skala-Wert]],INDIRECT(AY19),0)))</f>
        <v/>
      </c>
      <c r="BD19" s="31"/>
      <c r="BE19" s="597"/>
      <c r="BF19" s="190"/>
      <c r="BG19" s="587">
        <f>IF(BG$16,IF(BH$16=0.5,MROUND(WeitsprungResultat[[#This Row],[Resultat]],BH$16),ROUND(WeitsprungResultat[[#This Row],[Resultat]],BH$16)),ROUNDDOWN(WeitsprungResultat[[#This Row],[Resultat]],BH$16))</f>
        <v>0</v>
      </c>
      <c r="BH19" s="191" t="str">
        <f>IF(OR(Geschlecht[[#This Row],[Geschlecht (Skala)]]="",BE$16=""),"",MID(Geschlecht[[#This Row],[Geschlecht (Skala)]],1,1)&amp;MID(BE$16,1,1))</f>
        <v/>
      </c>
      <c r="BI19" s="190" t="str">
        <f>IF(OR(BH19="",WeitsprungResultat[[#This Row],[Resultat]]=""),"",REPLACE(INDEX(StdDisziplinen[TabÜberschriftResultat],BE$3),FIND("X",INDEX(StdDisziplinen[TabÜberschriftResultat],BE$3),1),2,BH19))</f>
        <v/>
      </c>
      <c r="BJ19" s="192" t="str">
        <f ca="1">IF(BI19="","",IF(OR(WeitsprungResultat[[#This Row],[Resultat]]=Stammdaten!$AX$22,WeitsprungResultat[[#This Row],[Resultat]]=Stammdaten!$AX$19),Stammdaten!$AX$19,IF(ISNA(INDEX(INDIRECT(BI19),MATCH(WeitsprungGerundet[[#This Row],[Rundung]],INDIRECT(BI19),BI$18))),IF(BI$18=-1,LARGE(INDIRECT(BI19),1),SMALL(INDIRECT(BI19),1)),INDEX(INDIRECT(BI19),MATCH(WeitsprungGerundet[[#This Row],[Rundung]],INDIRECT(BI19),BI$18)))))</f>
        <v/>
      </c>
      <c r="BL19" s="18" t="str">
        <f ca="1">IF(WeitsprungSkalawert[[#This Row],[Skala-Wert]]="","",REPLACE(INDEX(StdDisziplinen[TabÜberschriftNote],BE$3),FIND("X",INDEX(StdDisziplinen[TabÜberschriftNote],BE$3),1),2,BH19))</f>
        <v/>
      </c>
      <c r="BM19" s="31" t="str">
        <f ca="1">IF(OR(BL19="",WeitsprungSkalawert[[#This Row],[Skala-Wert]]=Stammdaten!$AX$19),"",INDEX(INDIRECT(BL19),MATCH(WeitsprungSkalawert[[#This Row],[Skala-Wert]],INDIRECT(BI19),0)))</f>
        <v/>
      </c>
      <c r="BN19" s="31"/>
      <c r="BO19" s="37"/>
      <c r="BP19" s="190"/>
      <c r="BQ19" s="154">
        <f>IF(BQ$16,IF(BR$16=0.5,MROUND(BallwurfResultat[[#This Row],[Resultat]],BR$16),ROUND(BallwurfResultat[[#This Row],[Resultat]],BR$16)),ROUNDDOWN(BallwurfResultat[[#This Row],[Resultat]],BR$16))</f>
        <v>0</v>
      </c>
      <c r="BR19" s="191" t="str">
        <f>IF(OR(Geschlecht[[#This Row],[Geschlecht (Skala)]]="",BO$16=""),"",MID(Geschlecht[[#This Row],[Geschlecht (Skala)]],1,1)&amp;MID(BO$16,1,1))</f>
        <v/>
      </c>
      <c r="BS19" s="190" t="str">
        <f>IF(OR(BR19="",BallwurfResultat[[#This Row],[Resultat]]=""),"",REPLACE(INDEX(StdDisziplinen[TabÜberschriftResultat],BO$3),FIND("X",INDEX(StdDisziplinen[TabÜberschriftResultat],BO$3),1),2,BR19))</f>
        <v/>
      </c>
      <c r="BT19" s="45" t="str">
        <f ca="1">IF(BS19="","",IF(OR(BallwurfResultat[[#This Row],[Resultat]]=Stammdaten!$AX$22,BallwurfResultat[[#This Row],[Resultat]]=Stammdaten!$AX$19),Stammdaten!$AX$19,IF(ISNA(INDEX(INDIRECT(BS19),MATCH(BallwurfGerundet[[#This Row],[Rundung]],INDIRECT(BS19),BS$18))),IF(BS$18=-1,LARGE(INDIRECT(BS19),1),SMALL(INDIRECT(BS19),1)),INDEX(INDIRECT(BS19),MATCH(BallwurfGerundet[[#This Row],[Rundung]],INDIRECT(BS19),BS$18)))))</f>
        <v/>
      </c>
      <c r="BV19" s="18" t="str">
        <f ca="1">IF(BallwurfSkalawert[[#This Row],[Skala-Wert]]="","",REPLACE(INDEX(StdDisziplinen[TabÜberschriftNote],BO$3),FIND("X",INDEX(StdDisziplinen[TabÜberschriftNote],BO$3),1),2,BR19))</f>
        <v/>
      </c>
      <c r="BW19" s="31" t="str">
        <f ca="1">IF(OR(BV19="",BallwurfSkalawert[[#This Row],[Skala-Wert]]=Stammdaten!$AX$19),"",INDEX(INDIRECT(BV19),MATCH(BallwurfSkalawert[[#This Row],[Skala-Wert]],INDIRECT(BS19),0)))</f>
        <v/>
      </c>
      <c r="BX19" s="31"/>
      <c r="BY19" s="598"/>
      <c r="BZ19" s="190"/>
      <c r="CA19" s="154">
        <f>IF(CA$16,IF(CB$16=0.5,MROUND(KugelstossenResultat[[#This Row],[Resultat]],CB$16),ROUND(KugelstossenResultat[[#This Row],[Resultat]],CB$16)),ROUNDDOWN(KugelstossenResultat[[#This Row],[Resultat]],CB$16))</f>
        <v>0</v>
      </c>
      <c r="CB19" s="191" t="str">
        <f>IF(OR(Geschlecht[[#This Row],[Geschlecht (Skala)]]="",BY$16=""),"",MID(Geschlecht[[#This Row],[Geschlecht (Skala)]],1,1)&amp;MID(BY$16,1,1))</f>
        <v/>
      </c>
      <c r="CC19" s="190" t="str">
        <f>IF(OR(CB19="",KugelstossenResultat[[#This Row],[Resultat]]=""),"",REPLACE(INDEX(StdDisziplinen[TabÜberschriftResultat],BY$3),FIND("X",INDEX(StdDisziplinen[TabÜberschriftResultat],BY$3),1),2,CB19))</f>
        <v/>
      </c>
      <c r="CD19" s="45" t="str">
        <f ca="1">IF(CC19="","",IF(OR(KugelstossenResultat[[#This Row],[Resultat]]=Stammdaten!$AX$22,KugelstossenResultat[[#This Row],[Resultat]]=Stammdaten!$AX$19),Stammdaten!$AX$19,IF(ISNA(INDEX(INDIRECT(CC19),MATCH(KugelstossenGerundet[[#This Row],[Rundung]],INDIRECT(CC19),CC$18))),IF(CC$18=-1,LARGE(INDIRECT(CC19),1),SMALL(INDIRECT(CC19),1)),INDEX(INDIRECT(CC19),MATCH(KugelstossenGerundet[[#This Row],[Rundung]],INDIRECT(CC19),CC$18)))))</f>
        <v/>
      </c>
      <c r="CF19" s="18" t="str">
        <f ca="1">IF(KugelstossenSkalawert[[#This Row],[Skala-Wert]]="","",REPLACE(INDEX(StdDisziplinen[TabÜberschriftNote],BY$3),FIND("X",INDEX(StdDisziplinen[TabÜberschriftNote],BY$3),1),2,CB19))</f>
        <v/>
      </c>
      <c r="CG19" s="31" t="str">
        <f ca="1">IF(OR(CF19="",KugelstossenSkalawert[[#This Row],[Skala-Wert]]=Stammdaten!$AX$19),"",INDEX(INDIRECT(CF19),MATCH(KugelstossenSkalawert[[#This Row],[Skala-Wert]],INDIRECT(CC19),0)))</f>
        <v/>
      </c>
      <c r="CH19" s="31"/>
      <c r="CI19" s="37"/>
      <c r="CJ19" s="190"/>
      <c r="CK19" s="154">
        <f>IF(CK$16,IF(CL$16=0.5,MROUND(SpeerwurfResultat[[#This Row],[Resultat]],CL$16),ROUND(SpeerwurfResultat[[#This Row],[Resultat]],CL$16)),ROUNDDOWN(SpeerwurfResultat[[#This Row],[Resultat]],CL$16))</f>
        <v>0</v>
      </c>
      <c r="CL19" s="191" t="str">
        <f>IF(OR(Geschlecht[[#This Row],[Geschlecht (Skala)]]="",CI$16=""),"",MID(Geschlecht[[#This Row],[Geschlecht (Skala)]],1,1)&amp;MID(CI$16,1,1))</f>
        <v/>
      </c>
      <c r="CM19" s="190" t="str">
        <f>IF(OR(CL19="",SpeerwurfResultat[[#This Row],[Resultat]]=""),"",REPLACE(INDEX(StdDisziplinen[TabÜberschriftResultat],CI$3),FIND("X",INDEX(StdDisziplinen[TabÜberschriftResultat],CI$3),1),2,CL19))</f>
        <v/>
      </c>
      <c r="CN19" s="45" t="str">
        <f ca="1">IF(CM19="","",IF(OR(SpeerwurfResultat[[#This Row],[Resultat]]=Stammdaten!$AX$22,SpeerwurfResultat[[#This Row],[Resultat]]=Stammdaten!$AX$19),Stammdaten!$AX$19,IF(ISNA(INDEX(INDIRECT(CM19),MATCH(SpeerwurfGerundet[[#This Row],[Rundung]],INDIRECT(CM19),CM$18))),IF(CM$18=-1,LARGE(INDIRECT(CM19),1),SMALL(INDIRECT(CM19),1)),INDEX(INDIRECT(CM19),MATCH(SpeerwurfGerundet[[#This Row],[Rundung]],INDIRECT(CM19),CM$18)))))</f>
        <v/>
      </c>
      <c r="CP19" s="18" t="str">
        <f ca="1">IF(SpeerwurfSkalawert[[#This Row],[Skala-Wert]]="","",REPLACE(INDEX(StdDisziplinen[TabÜberschriftNote],CI$3),FIND("X",INDEX(StdDisziplinen[TabÜberschriftNote],CI$3),1),2,CL19))</f>
        <v/>
      </c>
      <c r="CQ19" s="31" t="str">
        <f ca="1">IF(OR(CP19="",SpeerwurfSkalawert[[#This Row],[Skala-Wert]]=Stammdaten!$AX$19),"",INDEX(INDIRECT(CP19),MATCH(SpeerwurfSkalawert[[#This Row],[Skala-Wert]],INDIRECT(CM19),0)))</f>
        <v/>
      </c>
      <c r="CR19" s="31"/>
      <c r="CS19" s="31" t="str">
        <f ca="1">INDEX(INDIRECT(CS$4),ROW()-CS$5)</f>
        <v/>
      </c>
      <c r="CT19" s="31" t="str">
        <f ca="1">INDEX(INDIRECT(CT$4),ROW()-CT$5)</f>
        <v/>
      </c>
      <c r="CU19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Row],[Skala-Wert]])&gt;0,MAX(CS19:CT19),99))</f>
        <v>Keine Note</v>
      </c>
      <c r="CV19" s="202" t="str">
        <f ca="1">IF(CU19=CS19,CS$3,IF(CU19=CT19,CT$3,IF(CU19=99,$A$2,"")))</f>
        <v/>
      </c>
      <c r="CW19" s="202" t="str">
        <f ca="1">IF(CV19=$A$2,CS$10&amp;Stammdaten!$AX$25,IF(CU19=INDEX(StdFehler[],3),CS$10&amp;Stammdaten!$AX$27,INDEX(INDIRECT($B$4),MATCH(CV19,INDIRECT($B$5),0))))</f>
        <v>Sprintdisziplinen nicht durchgeführt</v>
      </c>
      <c r="CX19" s="202" t="str">
        <f ca="1">IFERROR(INDEX(INDIRECT(CX$12),MATCH(CV19,StdDisziplinen[ID],0)),"")</f>
        <v/>
      </c>
      <c r="CY19" s="202" t="e">
        <f ca="1">INDEX(INDIRECT($CY$1),MATCH(CW19,INDIRECT($B$4),0))</f>
        <v>#N/A</v>
      </c>
      <c r="CZ19" s="202" t="e">
        <f ca="1">CY19&amp;$CZ$12&amp;$CZ$13</f>
        <v>#N/A</v>
      </c>
      <c r="DA19" s="98" t="str">
        <f ca="1">IFERROR(INDIRECT(CZ19),"")</f>
        <v/>
      </c>
      <c r="DB19" s="202" t="e">
        <f ca="1">CY19&amp;$DB$12&amp;$DB$13</f>
        <v>#N/A</v>
      </c>
      <c r="DC19" s="202" t="str">
        <f ca="1">IFERROR(TEXT(INDIRECT(DB19),"#.00"),"")</f>
        <v/>
      </c>
      <c r="DD19" s="31" t="str">
        <f ca="1">INDEX(INDIRECT(DD$4),ROW()-DD$5)</f>
        <v/>
      </c>
      <c r="DE19" s="31" t="str">
        <f ca="1">INDEX(INDIRECT(DE$4),ROW()-DE$5)</f>
        <v/>
      </c>
      <c r="DF19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Row],[Skala-Wert]])&gt;0,MAX(DD19:DE19),99))</f>
        <v>Keine Note</v>
      </c>
      <c r="DG19" s="202" t="str">
        <f ca="1">IF(DF19=DD19,DD$3,IF(DF19=DE19,DE$3,IF(DF19=99,$A$2,"")))</f>
        <v/>
      </c>
      <c r="DH19" s="202" t="str">
        <f ca="1">IF(DG19=$A$2,DD$10&amp;Stammdaten!$AX$25,IF(DF19=INDEX(StdFehler[],3),DD$10&amp;Stammdaten!$AX$27,INDEX(INDIRECT($B$4),MATCH(DG19,INDIRECT($B$5),0))))</f>
        <v>Ausdauerdisziplinen nicht durchgeführt</v>
      </c>
      <c r="DI19" s="202" t="str">
        <f ca="1">IFERROR(INDEX(INDIRECT(DI$12),MATCH(DG19,StdDisziplinen[ID],0)),"")</f>
        <v/>
      </c>
      <c r="DJ19" s="202" t="e">
        <f ca="1">INDEX(INDIRECT($CY$1),MATCH(DH19,INDIRECT($B$4),0))</f>
        <v>#N/A</v>
      </c>
      <c r="DK19" s="202" t="e">
        <f ca="1">DJ19&amp;$CZ$12&amp;$CZ$13</f>
        <v>#N/A</v>
      </c>
      <c r="DL19" s="96" t="str">
        <f ca="1">IFERROR(IF(INDEX(INDIRECT($DL$1),$DG19)=0.5,TEXT(INDIRECT(DK19),"#.0"),IF(INDEX(INDIRECT($DL$1),$DG19)=0,TEXT(INDIRECT(DK19),"#"),"")),"")</f>
        <v/>
      </c>
      <c r="DM19" s="202" t="e">
        <f ca="1">DJ19&amp;$DM$12&amp;$DM$13</f>
        <v>#N/A</v>
      </c>
      <c r="DN19" s="202" t="str">
        <f ca="1">IFERROR(IF(DG19=3,TEXT(INDIRECT(DM19),"#.0"),IF(DG19=4,TEXT(INDIRECT(DM19),"#"),"")),"")</f>
        <v/>
      </c>
      <c r="DO19" s="31" t="str">
        <f ca="1">INDEX(INDIRECT(DO$4),ROW()-DO$5)</f>
        <v/>
      </c>
      <c r="DP19" s="31" t="str">
        <f ca="1">INDEX(INDIRECT(DP$4),ROW()-DP$5)</f>
        <v/>
      </c>
      <c r="DQ19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Row],[Skala-Wert]])&gt;0,MAX(DO19:DP19),99))</f>
        <v>Keine Note</v>
      </c>
      <c r="DR19" s="202" t="str">
        <f ca="1">IF(DQ19=DO19,DO$3,IF(DQ19=DP19,DP$3,IF(DQ19=99,$A$2,"")))</f>
        <v/>
      </c>
      <c r="DS19" s="202" t="str">
        <f ca="1">IF(DR19=$A$2,DO$10&amp;Stammdaten!$AX$25,IF(DQ19=INDEX(StdFehler[],3),DO$10&amp;Stammdaten!$AX$27,INDEX(INDIRECT($B$4),MATCH(DR19,INDIRECT($B$5),0))))</f>
        <v>Sprungdisziplinen nicht durchgeführt</v>
      </c>
      <c r="DT19" s="202" t="str">
        <f ca="1">IFERROR(INDEX(INDIRECT(DT$12),MATCH(DR19,StdDisziplinen[ID],0)),"")</f>
        <v/>
      </c>
      <c r="DU19" s="202" t="e">
        <f ca="1">INDEX(INDIRECT($CY$1),MATCH(DS19,INDIRECT($B$4),0))</f>
        <v>#N/A</v>
      </c>
      <c r="DV19" s="202" t="e">
        <f ca="1">DU19&amp;$CZ$12&amp;$CZ$13</f>
        <v>#N/A</v>
      </c>
      <c r="DW19" s="202" t="str">
        <f ca="1">IFERROR(INDIRECT(DV19),"")</f>
        <v/>
      </c>
      <c r="DX19" s="202" t="e">
        <f ca="1">DU19&amp;$DX$12&amp;$DX$13</f>
        <v>#N/A</v>
      </c>
      <c r="DY19" s="202" t="str">
        <f ca="1">IFERROR(TEXT(INDIRECT(DX19),"#"),"")</f>
        <v/>
      </c>
      <c r="DZ19" s="31" t="str">
        <f ca="1">IF(BallwurfSkalawert[[#This Row],[Skala-Wert]]=$A$3,$A$2,IF(ISNUMBER(BallwurfSkalawert[[#This Row],[Skala-Wert]]),BallwurfNote[[#This Row],[Note]],"!"))</f>
        <v>!</v>
      </c>
      <c r="EA19" s="31" t="str">
        <f ca="1">IF(KugelstossenSkalawert[[#This Row],[Skala-Wert]]=$A$3,$A$2,IF(ISNUMBER(KugelstossenSkalawert[[#This Row],[Skala-Wert]]),KugelstossenNote[[#This Row],[Note]],"!"))</f>
        <v>!</v>
      </c>
      <c r="EB19" s="31" t="str">
        <f ca="1">IF(SpeerwurfSkalawert[[#This Row],[Skala-Wert]]=$A$3,$A$2,IF(ISNUMBER(SpeerwurfSkalawert[[#This Row],[Skala-Wert]]),SpeerwurfNote[[#This Row],[Note]],"!"))</f>
        <v>!</v>
      </c>
      <c r="EC19" s="95" t="str">
        <f ca="1">IF(ED19&gt;0,MAX(DZ19:EB19),IF(EE19&gt;0,99,INDEX(StdFehler[StdFehler],3)))</f>
        <v>Keine Note</v>
      </c>
      <c r="ED19" s="202">
        <f ca="1">ISNUMBER(DZ19)+ISNUMBER(EA19)+ISNUMBER(EB19)</f>
        <v>0</v>
      </c>
      <c r="EE19" s="202">
        <f ca="1">COUNTIF(DZ19:EB19,$A$2)</f>
        <v>0</v>
      </c>
      <c r="EF19" s="202" t="str">
        <f ca="1">IF(EC19=DZ19,DZ$3,IF(EC19=EA19,EA$3,IF(EC19=EB19,EB$3,IF(EC19=99,$A$2,""))))</f>
        <v/>
      </c>
      <c r="EG19" s="202" t="str">
        <f ca="1">IF(EF19=$A$2,DZ$10&amp;Stammdaten!$AX$25,IF(EC19=INDEX(StdFehler[],3),DZ$10&amp;Stammdaten!$AX$27,INDEX(INDIRECT($B$4),MATCH(EF19,INDIRECT($B$5),0))))</f>
        <v>Wurfdisziplinen nicht durchgeführt</v>
      </c>
      <c r="EH19" s="202" t="str">
        <f ca="1">IFERROR(INDEX(INDIRECT(EH$12),MATCH(EF19,StdDisziplinen[ID],0)),"")</f>
        <v/>
      </c>
      <c r="EI19" s="202" t="e">
        <f ca="1">INDEX(INDIRECT($CY$1),MATCH(EG19,INDIRECT($B$4),0))</f>
        <v>#N/A</v>
      </c>
      <c r="EJ19" s="202" t="e">
        <f ca="1">EI19&amp;$CZ$12&amp;$CZ$13</f>
        <v>#N/A</v>
      </c>
      <c r="EK19" s="98" t="str">
        <f ca="1">IFERROR(TEXT(INDIRECT(EJ19),"#.00"),"")</f>
        <v/>
      </c>
      <c r="EL19" s="202" t="e">
        <f ca="1">EI19&amp;$EL$12&amp;$EL$13</f>
        <v>#N/A</v>
      </c>
      <c r="EM19" s="202" t="str">
        <f ca="1">IFERROR(TEXT(INDIRECT(EL19),"#.00"),"")</f>
        <v/>
      </c>
      <c r="EN19" s="200">
        <f t="shared" ref="EN19:EN48" ca="1" si="1">AND(ISNUMBER(CU19),CU19&lt;&gt;99)+AND(ISNUMBER(DF19),DF19&lt;&gt;99)+AND(ISNUMBER(DQ19),DQ19&lt;&gt;99)+(AND(ISNUMBER(EC19),EC19&lt;&gt;99))</f>
        <v>0</v>
      </c>
      <c r="EO19" s="202">
        <f ca="1">COUNTIF(EP19:ES19,99)</f>
        <v>0</v>
      </c>
      <c r="EP19" s="96">
        <f t="shared" ref="EP19:EP48" ca="1" si="2">IF(ISNUMBER(CU19),CU19,0)</f>
        <v>0</v>
      </c>
      <c r="EQ19" s="96">
        <f t="shared" ref="EQ19:EQ48" ca="1" si="3">IF(ISNUMBER(DF19),DF19,0)</f>
        <v>0</v>
      </c>
      <c r="ER19" s="96">
        <f t="shared" ref="ER19:ER48" ca="1" si="4">IF(ISNUMBER(DQ19),DQ19,0)</f>
        <v>0</v>
      </c>
      <c r="ES19" s="96">
        <f t="shared" ref="ES19:ES48" ca="1" si="5">IF(ISNUMBER(EC19),EC19,0)</f>
        <v>0</v>
      </c>
      <c r="ET19" s="202">
        <f ca="1">SUM(EP19:ES19)-EO19*99</f>
        <v>0</v>
      </c>
      <c r="EU19" s="202" t="str">
        <f ca="1">IF($EO19=$FA$4,Stammdaten!$AX$19,IF(COUNTIF($EP19:$ES19,0)&lt;&gt;0,INDEX(StdFehler[StdFehler],4),ROUND(SUM($ET19/$EN19)/$FC$4,0)*$FC$4))</f>
        <v>Zu wenige Noten</v>
      </c>
      <c r="EV19" s="202" t="str">
        <f t="shared" ref="EV19:EV48" ca="1" si="6">IF(NOT(ISNUMBER(EU19)),EU19,CONCATENATE(TEXT(EP19,"##.0"),", ",TEXT(EQ19,"##.0"),", ",TEXT(ER19,"##.0"),", ",TEXT(ES19,"##.0")))</f>
        <v>Zu wenige Noten</v>
      </c>
      <c r="EW19" s="202" t="str">
        <f ca="1">IFERROR(REPLACE(EV19,FIND("99.0",EV19,1),6,""),EV19)</f>
        <v>Zu wenige Noten</v>
      </c>
      <c r="EX19" s="202" t="str">
        <f ca="1">IFERROR(REPLACE(EW19,FIND("99.0",EW19,1),6,""),EW19)</f>
        <v>Zu wenige Noten</v>
      </c>
      <c r="EY19" s="202" t="str">
        <f ca="1">IFERROR(REPLACE(EX19,FIND("99.0",EX19,1),6,""),EX19)</f>
        <v>Zu wenige Noten</v>
      </c>
      <c r="EZ19" s="202" t="str">
        <f ca="1">IF(RIGHT(EY19,2)=", ",MID(EY19,1,LEN(EY19)-2),EY19)</f>
        <v>Zu wenige Noten</v>
      </c>
      <c r="FA19" s="202" t="str">
        <f ca="1">EZ19</f>
        <v>Zu wenige Noten</v>
      </c>
      <c r="FB19" s="31"/>
      <c r="FC19" s="56" t="str">
        <f ca="1">EU19</f>
        <v>Zu wenige Noten</v>
      </c>
      <c r="FD19" s="31"/>
      <c r="FE19" s="597"/>
      <c r="FF19" s="190"/>
      <c r="FJ19" s="31"/>
      <c r="FK19" s="597"/>
      <c r="FL19" s="190"/>
      <c r="FP19" s="31"/>
      <c r="FQ19" s="597"/>
      <c r="FR19" s="190"/>
      <c r="FV19" s="31"/>
      <c r="FW19" s="597"/>
      <c r="FX19" s="190"/>
      <c r="GB19" s="31"/>
      <c r="GC19" s="597"/>
      <c r="GD19" s="190"/>
      <c r="GF19" s="154"/>
      <c r="GH19" s="31"/>
      <c r="GI19" s="597"/>
      <c r="GJ19" s="190"/>
      <c r="GN19" s="45"/>
      <c r="GO19" s="276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19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19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19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19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19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19" s="202">
        <f t="shared" ref="GU19:GU48" si="7">AND(ISNUMBER(GO19),GO19&gt;0)+AND(ISNUMBER(GP19),GP19&gt;0)+AND(ISNUMBER(GQ19),GQ19&gt;0)+AND(ISNUMBER(GR19),GR19&gt;0)+AND(ISNUMBER(GS19),GS19&gt;0)+AND(ISNUMBER(GT19),GT19&gt;0)</f>
        <v>0</v>
      </c>
      <c r="GV19" s="202">
        <f t="shared" ref="GV19:GV48" si="8">COUNTIF($GO19:$GT19,$A$2)</f>
        <v>0</v>
      </c>
      <c r="GW19" s="202">
        <f>IF((GU19+GV19)&lt;$GW$13,0,1)</f>
        <v>0</v>
      </c>
      <c r="GX19" s="200" t="str">
        <f>IF(GW19,IF(GU19&gt;0,MAX(GO19:GT19),$A$2),"!")</f>
        <v>!</v>
      </c>
      <c r="GY19" s="200" t="str">
        <f t="shared" ref="GY19:GY48" si="9">IF(GW19,IF(GU19&gt;1,LARGE(GO19:GT19,$GY$16),$A$2),"!")</f>
        <v>!</v>
      </c>
      <c r="GZ19" s="200" t="str">
        <f t="shared" ref="GZ19:GZ48" si="10">IF(GW19,IF(GU19&gt;2,LARGE(GO19:GT19,$GZ$16),$A$2),"!")</f>
        <v>!</v>
      </c>
      <c r="HA19" s="244" t="str">
        <f>IF(GO19=0,"nd",IF(NOT(OR(GO19=$GX19,GO19=$GY19,GO19=$GZ19)),"nr",IF(GO19=$GX19,1,IF(GO19=$GY19,2,3))))</f>
        <v>nd</v>
      </c>
      <c r="HB19" s="244" t="str">
        <f>IF(GP19=0,"nd",IF(NOT(OR(GP19=$GX19,GP19=$GY19,GP19=$GZ19)),"nr",IF(AND(GP19=$GX19,NOT(HA19=1)),1,IF(AND(GP19=$GY19,NOT(HA19=2)),2,IF(AND(GP19=$GZ19,NOT(HA19=3)),3)))))</f>
        <v>nd</v>
      </c>
      <c r="HC19" s="244" t="str">
        <f>IF(GQ19=0,"nd",IF(NOT(OR(GQ19=$GX19,GQ19=$GY19,GQ19=$GZ19)),"nr",IF(AND(GQ19=$GX19,NOT(OR(HA19=1,HB19=1))),1,IF(AND(GQ19=$GY19,NOT(OR(HA19=2,HB19=2))),2,IF(AND(GQ19=$GZ19,NOT(OR(HA19=3,HB19=3))),3)))))</f>
        <v>nd</v>
      </c>
      <c r="HD19" s="244" t="str">
        <f>IF(GR19=0,"nd",IF(NOT(OR(GR19=$GX19,GR19=$GY19,GR19=$GZ19)),"nr",IF(AND(GR19=$GX19,NOT(OR(HA19=1,HB19=1,HC19=1))),1,IF(AND(GR19=$GY19,NOT(OR(HA19=2,HB19=2,HC19=2))),2,IF(AND(GR19=$GZ19,NOT(OR(HA19=3,HB19=3,HC19=3))),3)))))</f>
        <v>nd</v>
      </c>
      <c r="HE19" s="244" t="str">
        <f>IF(GS19=0,"nd",IF(NOT(OR(GS19=$GX19,GS19=$GY19,GS19=$GZ19)),"nr",IF(AND(GS19=$GX19,NOT(OR(HA19=1,HB19=1,HC19=1,HD19=1))),1,IF(AND(GS19=$GY19,NOT(OR(HA19=2,HB19=2,HC19=2,HD19=2))),2,IF(AND(GS19=$GZ19,NOT(OR(HA19=3,HB19=3,HC19=3,HD19=3))),3)))))</f>
        <v>nd</v>
      </c>
      <c r="HF19" s="244" t="str">
        <f>IF(GT19=0,"nd",IF(NOT(OR(GT19=$GX19,GT19=$GY19,GT19=$GZ19)),"nr",IF(AND(GT19=$GX19,NOT(OR(HA19=1,HB19=1,HC19=1,HD19=1,HE19=1))),1,IF(AND(GT19=$GY19,NOT(OR(HA19=2,HB19=2,HC19=2,HD19=2,HE19=2))),2,IF(AND(GT19=$GZ19,NOT(OR(HA19=3,HB19=3,HC19=3,HD19=3,HE19=3))),3)))))</f>
        <v>nd</v>
      </c>
      <c r="HG19" s="202" t="b">
        <f>IF($HA19=HG$14,$HA$14,IF($HB19=HG$14,$HB$14,IF($HC19=HG$14,$HC$14,IF($HD19=HG$14,$HD$14,IF($HE19=HG$14,$HE$14,IF($HF19=HG$14,$HF$14))))))</f>
        <v>0</v>
      </c>
      <c r="HH19" s="202">
        <f>IF(AND(GU19=0,GV19=0),1,0)</f>
        <v>1</v>
      </c>
      <c r="HI19" s="202">
        <f>IF(OR(GW19,HH19),0,1)</f>
        <v>0</v>
      </c>
      <c r="HJ19" s="200" t="str">
        <f>IF(HI19,MAX($GO19:$GT19),"")</f>
        <v/>
      </c>
      <c r="HK19" s="200" t="str">
        <f>IF(HI19,LARGE($GO19:$GT19,$GY$16),"")</f>
        <v/>
      </c>
      <c r="HL19" s="200">
        <f>IF(AND($HI19,AND($HJ19=$HK19,$HJ19&lt;&gt;0,$HK19&lt;&gt;0)),1,0)</f>
        <v>0</v>
      </c>
      <c r="HM19" s="202" t="str">
        <f>IF(AND($HI19,AND($GU19=0,$GV19=1)),INDEX($GO$14:$GT$14,,MATCH($A$2,$GO19:$GT19,0)),"")</f>
        <v/>
      </c>
      <c r="HN19" s="200" t="str">
        <f>IF(AND($HI19,AND($GU19=1,$GV19=0)),INDEX($GO$14:$GT$14,,MATCH($HJ19,$GO19:$GT19,0)),"")</f>
        <v/>
      </c>
      <c r="HO19" s="200" t="str">
        <f>IF(AND($HI19,AND($GU19=1,$GV19=1)),INDEX($GO$14:$GT$14,,MATCH($HJ19,$GO19:$GT19,0)),"")</f>
        <v/>
      </c>
      <c r="HP19" s="200" t="str">
        <f>IF(AND($HI19,AND($GU19=0,$GV19=2)),INDEX($GO$14:$GT$14,,MATCH($A$2,$GO19:$GT19,0)),"")</f>
        <v/>
      </c>
      <c r="HQ19" s="242" t="str">
        <f>IF(AND($HI19,AND($GU19=2,$GV19=0)),INDEX($GO$14:$GT$14,,MATCH($HJ19,$GO19:$GT19,0)),"")</f>
        <v/>
      </c>
      <c r="HR19" s="242" t="str">
        <f>IF(SUM($HM19:$HQ19)=0,"",SUM($HM19:$HQ19))</f>
        <v/>
      </c>
      <c r="HS19" s="242" t="str">
        <f>IF(ISNUMBER($HG19),$HG19,IF(ISNUMBER($HR19),$HR19,""))</f>
        <v/>
      </c>
      <c r="HT19" s="242" t="str">
        <f ca="1">IF($HH19,$HS$12,INDEX(INDIRECT($B$4),MATCH($HS19,INDIRECT($B$5),0)))</f>
        <v>Erstes Gerät</v>
      </c>
      <c r="HU19" s="242" t="str">
        <f ca="1">IF(HT19=$HS$12,Stammdaten!$AY$27,IF(HW19=$A$2,TRIM(Stammdaten!$AX$25),""))</f>
        <v>nicht durchgeführt</v>
      </c>
      <c r="HV19" s="242" t="str">
        <f ca="1">IFERROR(INDEX(INDIRECT($HV$2),MATCH(HT19,INDIRECT($B$4),0)),"")</f>
        <v/>
      </c>
      <c r="HW19" s="277" t="str">
        <f t="shared" ref="HW19:HW48" si="11">IFERROR(HLOOKUP(HS19,_BS_2,ROW()-$HW$14,FALSE),"")</f>
        <v/>
      </c>
      <c r="HX19" s="202" t="str">
        <f>IF(ISNUMBER(HW19),TEXT(HW19,"#"),"")</f>
        <v/>
      </c>
      <c r="HY19" s="202" t="str">
        <f ca="1">IF(OR(ISNUMBER(HW19),HU19=$A$3),INDEX(INDIRECT($HZ$1),MATCH(HS19,INDIRECT($B$5),0)),"")</f>
        <v/>
      </c>
      <c r="HZ19" s="202" t="str">
        <f ca="1">$HZ$2&amp;LEFT(HY19,1)&amp;"]"</f>
        <v>StdDisziplinen[MaxTextSt]</v>
      </c>
      <c r="IA19" s="202" t="str">
        <f t="shared" ref="IA19:IA48" ca="1" si="12">IFERROR(INDEX(INDIRECT(HZ19),MATCH(HS19,INDIRECT($B$5),0)),"")</f>
        <v/>
      </c>
      <c r="IB19" s="202" t="b">
        <f>IF($HA19=IB$14,$HA$14,IF($HB19=IB$14,$HB$14,IF($HC19=IB$14,$HC$14,IF($HD19=IB$14,$HD$14,IF($HE19=IB$14,$HE$14,IF($HF19=IB$14,$HF$14))))))</f>
        <v>0</v>
      </c>
      <c r="IC19" s="202" t="str">
        <f>IF(AND($HI19,AND($GU19=1,$GV19=1)),INDEX($GO$14:$GT$14,,MATCH($A$2,$GO19:$GT19,0)),"")</f>
        <v/>
      </c>
      <c r="ID19" s="202" t="str">
        <f>IF(NOT(AND($HI19,AND($GU19=0,$GV19=2))),"",IF($HP19=10,INDEX($GP$14:$GT$14,,MATCH($A$2,$GP19:$GT19,0)),IF($HP19=11,INDEX($GQ$14:$GT$14,,MATCH($A$2,$GQ19:$GT19,0)),IF($HP19=12,INDEX($GR$14:$GT$14,,MATCH($A$2,$GR19:$GT19,0)),IF($HP19=13,INDEX($GS$14:$GT$14,,MATCH($A$2,$GS19:$GT19,0)),IF($HP19=14,INDEX($GT$14,,MATCH($A$2,$GT19,0))))))))</f>
        <v/>
      </c>
      <c r="IE19" s="202" t="str">
        <f>IF(NOT(AND($HI19,AND($GU19=2,$GV19=0))),"",IF(NOT($HL19),INDEX($GO$14:$GT$14,,MATCH($HK19,$GO19:$GT19,0)),""))</f>
        <v/>
      </c>
      <c r="IF19" s="202" t="str">
        <f>IF(NOT(AND($HI19,AND($GU19=2,$GV19=0))),"",IF($HL19,IF($HQ19=10,INDEX($GP$14:$GT$14,,MATCH($HK19,$GP19:$GT19,0)),IF($HQ19=11,INDEX($GQ$14:$GT$14,,MATCH($HK19,$GQ19:$GT19,0)),IF($HQ19=12,INDEX($GR$14:$GT$14,,MATCH($HK19,$GR19:$GT19,0)),IF($HQ19=13,INDEX($GS$14:$GT$14,,MATCH($HK19,$GS19:$GT19,0)),IF($HQ19=14,INDEX($GT$14,,MATCH($HK19,$GT19,0))))))),""))</f>
        <v/>
      </c>
      <c r="IG19" s="242" t="str">
        <f>IF(SUM($IC19:$IF19)=0,"",SUM($IC19:$IF19))</f>
        <v/>
      </c>
      <c r="IH19" s="242" t="str">
        <f>IF(ISNUMBER($IB19),$IB19,IF(ISNUMBER($IG19),$IG19,""))</f>
        <v/>
      </c>
      <c r="II19" s="242" t="str">
        <f t="shared" ref="II19:II48" ca="1" si="13">IF($HH19,$IH$12,IFERROR(INDEX(INDIRECT($B$4),MATCH($IH19,INDIRECT($B$5),0)),$IH$12))</f>
        <v>Zweites Gerät</v>
      </c>
      <c r="IJ19" s="242" t="str">
        <f ca="1">IF(II19=$IH$12,Stammdaten!$AY$27,IF(IL19=$A$2,TRIM(Stammdaten!$AX$25),""))</f>
        <v>nicht durchgeführt</v>
      </c>
      <c r="IK19" s="242" t="str">
        <f ca="1">IFERROR(INDEX(INDIRECT($IK$2),MATCH(II19,INDIRECT($B$4),0)),"")</f>
        <v/>
      </c>
      <c r="IL19" s="200" t="str">
        <f t="shared" ref="IL19:IL48" si="14">IFERROR(HLOOKUP(IH19,_BS_2,ROW()-$IL$14,FALSE),"")</f>
        <v/>
      </c>
      <c r="IM19" s="202" t="str">
        <f>IF(ISNUMBER(IL19),TEXT(IL19,"#"),"")</f>
        <v/>
      </c>
      <c r="IN19" s="202" t="str">
        <f ca="1">IF(OR(ISNUMBER(IL19),IJ19=$A$3),INDEX(INDIRECT($IO$1),MATCH(IH19,INDIRECT($B$5),0)),"")</f>
        <v/>
      </c>
      <c r="IO19" s="202" t="str">
        <f ca="1">$IO$2&amp;LEFT(IN19,1)&amp;"]"</f>
        <v>StdDisziplinen[MaxTextSt]</v>
      </c>
      <c r="IP19" s="202" t="str">
        <f ca="1">IFERROR(INDEX(INDIRECT(IO19),MATCH($IH19,INDIRECT($B$5),0)),"")</f>
        <v/>
      </c>
      <c r="IQ19" s="202" t="b">
        <f>IF($HA19=IQ$14,$HA$14,IF($HB19=IQ$14,$HB$14,IF($HC19=IQ$14,$HC$14,IF($HD19=IQ$14,$HD$14,IF($HE19=IQ$14,$HE$14,IF($HF19=IQ$14,$HF$14))))))</f>
        <v>0</v>
      </c>
      <c r="IR19" s="242" t="str">
        <f t="shared" ref="IR19:IR48" ca="1" si="15">IFERROR(INDEX(INDIRECT($B$4),MATCH(IQ19,INDIRECT($B$5),0)),$IR$12)</f>
        <v>Drittes Gerät</v>
      </c>
      <c r="IS19" s="242" t="str">
        <f ca="1">IF(IR19=$IR$12,MID(Stammdaten!$AX$27,2,LEN(Stammdaten!$AX$27)),IF(IU19=$A$2,TRIM(Stammdaten!$AX$25),""))</f>
        <v>nicht durchgeführt</v>
      </c>
      <c r="IT19" s="242" t="str">
        <f t="shared" ref="IT19:IT48" ca="1" si="16">IFERROR(INDEX(INDIRECT($IT$2),MATCH(IR19,INDIRECT($B$4),0)),"")</f>
        <v/>
      </c>
      <c r="IU19" s="200" t="str">
        <f t="shared" ref="IU19:IU48" si="17">IFERROR(HLOOKUP(IQ19,_BS_2,ROW()-$IU$14,FALSE),"")</f>
        <v/>
      </c>
      <c r="IV19" s="202" t="str">
        <f>IF(ISNUMBER(IU19),TEXT(IU19,"#"),"")</f>
        <v/>
      </c>
      <c r="IW19" s="202" t="str">
        <f ca="1">IF(OR(ISNUMBER(IU19),IS19=$A$3),INDEX(INDIRECT($IX$1),MATCH(IQ19,INDIRECT($B$5),0)),"")</f>
        <v/>
      </c>
      <c r="IX19" s="202" t="str">
        <f ca="1">$IX$2&amp;LEFT(IW19,1)&amp;"]"</f>
        <v>StdDisziplinen[MaxTextSt]</v>
      </c>
      <c r="IY19" s="202" t="str">
        <f t="shared" ref="IY19:IY48" ca="1" si="18">IFERROR(INDEX(INDIRECT(IX19),MATCH($IQ19,INDIRECT($B$5),0)),"")</f>
        <v/>
      </c>
      <c r="IZ19" s="200" t="str">
        <f>IF(NOT(GW19),INDEX(StdFehler[StdFehler],4),IF(COUNTIF(GX19:GZ19,$A$2)&gt;=$IZ$4,$A$3,SUM(GX19:GZ19)))</f>
        <v>Zu wenige Noten</v>
      </c>
      <c r="JA19" s="95"/>
      <c r="JB19" s="587" t="e">
        <f t="shared" ref="JB19:JB48" si="19">IF(JB$16,IF(JC$16=0.5,MROUND(IZ19,$JC$16),ROUND(IZ19,$JC$16)),ROUNDDOWN(IZ19,$JC$16))</f>
        <v>#VALUE!</v>
      </c>
      <c r="JC19" s="191" t="str">
        <f>IF(OR(Geschlecht[[#This Row],[Geschlecht (Skala)]]="",IZ19=""),"",MID(Geschlecht[[#This Row],[Geschlecht (Skala)]],1,1)&amp;MID($FE$16,1,1))</f>
        <v/>
      </c>
      <c r="JD19" s="190" t="str">
        <f>IF(OR(JC19="",IZ19=""),"",REPLACE(INDEX(StdDisziplinen[TabÜberschriftResultat],$FE$3),FIND("X",INDEX(StdDisziplinen[TabÜberschriftResultat],$FE$3),1),2,JC19))</f>
        <v/>
      </c>
      <c r="JE19" s="192" t="str">
        <f ca="1">IF(OR(JD19="",IZ19=Stammdaten!$AZ$5),"",IF(OR(IZ19=Stammdaten!$AX$22,IZ19=Stammdaten!$AX$19),Stammdaten!$AX$19,IF(ISNA(INDEX(INDIRECT(JD19),MATCH(GeräteturnenGerundet[[#This Row],[Rundung]],INDIRECT(JD19),$JD$16))),IF($JD$16=-1,LARGE(INDIRECT(JD19),1),SMALL(INDIRECT(JD19),1)),INDEX(INDIRECT(JD19),MATCH(GeräteturnenGerundet[[#This Row],[Rundung]],INDIRECT(JD19),$JD$16)))))</f>
        <v/>
      </c>
      <c r="JG19" s="18" t="str">
        <f ca="1">IF(GeräteturnenSkalawert[[#This Row],[Skala-Wert]]="","",REPLACE(INDEX(StdDisziplinen[TabÜberschriftNote],$FE$3),FIND("X",INDEX(StdDisziplinen[TabÜberschriftNote],$FE$3),1),2,JC19))</f>
        <v/>
      </c>
      <c r="JH19" s="45" t="str">
        <f ca="1">IF(OR(JG19="",GeräteturnenSkalawert[[#This Row],[Skala-Wert]]=Stammdaten!$AX$19),"",INDEX(INDIRECT(JG19),MATCH(GeräteturnenSkalawert[[#This Row],[Skala-Wert]],INDIRECT(JD19),0)))</f>
        <v/>
      </c>
      <c r="JI19" s="31"/>
      <c r="JJ19" s="597"/>
      <c r="JK19" s="190"/>
      <c r="JL19" s="587">
        <f>IF(JL$16,IF(JM$16=0.5,MROUND(ParkourResultat[[#This Row],[Resultat]],JM$16),ROUND(ParkourResultat[[#This Row],[Resultat]],JM$16)),ROUNDDOWN(ParkourResultat[[#This Row],[Resultat]],JM$16))</f>
        <v>0</v>
      </c>
      <c r="JM19" s="191" t="str">
        <f>IF(OR(Geschlecht[[#This Row],[Geschlecht (Skala)]]="",JJ$16=""),"",MID(Geschlecht[[#This Row],[Geschlecht (Skala)]],1,1)&amp;MID(JJ$16,1,1))</f>
        <v/>
      </c>
      <c r="JN19" s="190" t="str">
        <f>IF(OR(JM19="",ParkourResultat[[#This Row],[Resultat]]=""),"",REPLACE(INDEX(StdDisziplinen[TabÜberschriftResultat],JJ$3),FIND("X",INDEX(StdDisziplinen[TabÜberschriftResultat],JJ$3),1),2,JM19))</f>
        <v/>
      </c>
      <c r="JO19" s="192" t="str">
        <f ca="1">IF(JN19="","",IF(OR(ParkourResultat[[#This Row],[Resultat]]=Stammdaten!$AX$22,ParkourResultat[[#This Row],[Resultat]]=Stammdaten!$AX$19),Stammdaten!$AX$19,IF(ISNA(INDEX(INDIRECT(JN19),MATCH(ParkourGerundet[[#This Row],[Rundung]],INDIRECT(JN19),JN$18))),IF(JN$18=-1,LARGE(INDIRECT(JN19),1),SMALL(INDIRECT(JN19),1)),INDEX(INDIRECT(JN19),MATCH(ParkourGerundet[[#This Row],[Rundung]],INDIRECT(JN19),JN$18)))))</f>
        <v/>
      </c>
      <c r="JQ19" s="18" t="str">
        <f ca="1">IF(ParkourSkalawert[[#This Row],[Skala-Wert]]="","",REPLACE(INDEX(StdDisziplinen[TabÜberschriftNote],JJ$3),FIND("X",INDEX(StdDisziplinen[TabÜberschriftNote],JJ$3),1),2,JM19))</f>
        <v/>
      </c>
      <c r="JR19" s="31" t="str">
        <f ca="1">IF(OR(JQ19="",ParkourSkalawert[[#This Row],[Skala-Wert]]=Stammdaten!$AX$19),"",INDEX(INDIRECT(JQ19),MATCH(ParkourSkalawert[[#This Row],[Skala-Wert]],INDIRECT(JN19),0)))</f>
        <v/>
      </c>
      <c r="JS19" s="96"/>
      <c r="JT19" s="47" t="str">
        <f ca="1">IF(OR(ISNUMBER(ParkourSkalawert[[#This Row],[Skala-Wert]]),ParkourSkalawert[[#This Row],[Skala-Wert]]=$A$3),INDEX(INDIRECT($JU$1),MATCH($JJ$3,INDIRECT($B$5),0)),"")</f>
        <v/>
      </c>
      <c r="JU19" s="200" t="str">
        <f ca="1">$JU$2&amp;LEFT(JT19,1)&amp;"]"</f>
        <v>StdDisziplinen[MaxTextSt]</v>
      </c>
      <c r="JV19" s="200" t="str">
        <f ca="1">IFERROR(INDEX(INDIRECT(JU19),MATCH($JJ$3,INDIRECT($B$5),0)),"")</f>
        <v/>
      </c>
      <c r="JW19" s="98">
        <f ca="1">IF(GeräteturnenSkalawert[[#This Row],[Skala-Wert]]=$A$3,$A$2,IF(GeräteturnenNote[[#This Row],[Note]]="",0,GeräteturnenNote[[#This Row],[Note]]))</f>
        <v>0</v>
      </c>
      <c r="JX19" s="96">
        <f ca="1">IF(ParkourSkalawert[[#This Row],[Skala-Wert]]=$A$3,$A$2,IF(ParkourNote[[#This Row],[Note]]="",0,ParkourNote[[#This Row],[Note]]))</f>
        <v>0</v>
      </c>
      <c r="JY19" s="200">
        <f ca="1">AND(ISNUMBER(JW19),JW19&gt;0)+AND(ISNUMBER(JX19),JX19&gt;0)</f>
        <v>0</v>
      </c>
      <c r="JZ19" s="200">
        <f ca="1">COUNTIF(JW19:JX19,$A$2)</f>
        <v>0</v>
      </c>
      <c r="KA19" s="202">
        <f ca="1">IF((JY19+JZ19)&lt;$KA$12,0,1)</f>
        <v>0</v>
      </c>
      <c r="KB19" s="98" t="str">
        <f t="shared" ref="KB19:KB48" ca="1" si="20">IF($KA19,IF($JY19&gt;0,MAX($JW19:$JX19),$A$2),"!")</f>
        <v>!</v>
      </c>
      <c r="KC19" s="98" t="str">
        <f t="shared" ref="KC19:KC48" ca="1" si="21">IF($KA19,IF($JY19&gt;1,LARGE($JW19:$JX19,$KA$12),$A$2),"!")</f>
        <v>!</v>
      </c>
      <c r="KD19" s="202" t="str">
        <f ca="1">IF(NOT(KA19),INDEX(StdFehler[StdFehler],4),IF(JZ19=$KA$12,$A$3,IF(JW19=$A$2,TEXT(JX19,"#.0"),IF(JX19=$A$2,JW19,CONCATENATE(JW19,", ",TEXT(JX19,"#.0"))))))</f>
        <v>Zu wenige Noten</v>
      </c>
      <c r="KE19" s="202" t="str">
        <f ca="1">$KD19</f>
        <v>Zu wenige Noten</v>
      </c>
      <c r="KF19" s="31"/>
      <c r="KG19" s="56" t="str">
        <f ca="1">IF(NOT(KA19),INDEX(StdFehler[StdFehler],4),IF(JZ19=$KA$12,$A$3,ROUND(AVERAGE(KB19:KC19)/$KG$4,0)*$KG$4))</f>
        <v>Zu wenige Noten</v>
      </c>
      <c r="KH19" s="31"/>
      <c r="KI19" s="599"/>
      <c r="KJ19" s="190"/>
      <c r="KK19" s="586">
        <f>IF(KK$16,IF(KL$16=0.5,MROUND(TanzenResultat[[#This Row],[Resultat]],KL$16),ROUND(TanzenResultat[[#This Row],[Resultat]],KL$16)),ROUNDDOWN(TanzenResultat[[#This Row],[Resultat]],KL$16))</f>
        <v>0</v>
      </c>
      <c r="KL19" s="191" t="str">
        <f>IF(OR(Geschlecht[[#This Row],[Geschlecht (Skala)]]="",KI$16=""),"",MID(Geschlecht[[#This Row],[Geschlecht (Skala)]],1,1)&amp;MID(KI$16,1,1))</f>
        <v/>
      </c>
      <c r="KM19" s="190" t="str">
        <f>IF(OR(KL19="",TanzenResultat[[#This Row],[Resultat]]=""),"",REPLACE(INDEX(StdDisziplinen[TabÜberschriftResultat],KI$3),FIND("X",INDEX(StdDisziplinen[TabÜberschriftResultat],KI$3),1),2,KL19))</f>
        <v/>
      </c>
      <c r="KN19" s="31" t="str">
        <f ca="1">IF(KM19="","",IF(OR(TanzenResultat[[#This Row],[Resultat]]=Stammdaten!$AX$22,TanzenResultat[[#This Row],[Resultat]]=Stammdaten!$AX$19),Stammdaten!$AX$19,IF(ISNA(INDEX(INDIRECT(KM19),MATCH(TanzenGerundet[[#This Row],[Rundung]],INDIRECT(KM19),KM$18))),IF(KM$18=-1,LARGE(INDIRECT(KM19),1),SMALL(INDIRECT(KM19),1)),INDEX(INDIRECT(KM19),MATCH(TanzenGerundet[[#This Row],[Rundung]],INDIRECT(KM19),KM$18)))))</f>
        <v/>
      </c>
      <c r="KP19" s="18" t="str">
        <f ca="1">IF(TanzenSkalawert[[#This Row],[Skala-Wert]]="","",REPLACE(INDEX(StdDisziplinen[TabÜberschriftNote],KI$3),FIND("X",INDEX(StdDisziplinen[TabÜberschriftNote],KI$3),1),2,KL19))</f>
        <v/>
      </c>
      <c r="KQ19" s="45" t="str">
        <f ca="1">IF(OR(KP19="",TanzenSkalawert[[#This Row],[Skala-Wert]]=Stammdaten!$AX$19),"",INDEX(INDIRECT(KP19),MATCH(TanzenSkalawert[[#This Row],[Skala-Wert]],INDIRECT(KM19),0)))</f>
        <v/>
      </c>
      <c r="KR19" s="31"/>
      <c r="KS19" s="597"/>
      <c r="KT19" s="190"/>
      <c r="KU19" s="587">
        <f>IF(KU$16,IF(KV$16=0.5,MROUND(RopeSkippingResultat[[#This Row],[Resultat]],KV$16),ROUND(RopeSkippingResultat[[#This Row],[Resultat]],KV$16)),ROUNDDOWN(RopeSkippingResultat[[#This Row],[Resultat]],KV$16))</f>
        <v>0</v>
      </c>
      <c r="KV19" s="191" t="str">
        <f>IF(OR(Geschlecht[[#This Row],[Geschlecht (Skala)]]="",KS$16=""),"",MID(Geschlecht[[#This Row],[Geschlecht (Skala)]],1,1)&amp;MID(KS$16,1,1))</f>
        <v/>
      </c>
      <c r="KW19" s="190" t="str">
        <f>IF(OR(KV19="",RopeSkippingResultat[[#This Row],[Resultat]]=""),"",REPLACE(INDEX(StdDisziplinen[TabÜberschriftResultat],KS$3),FIND("X",INDEX(StdDisziplinen[TabÜberschriftResultat],KS$3),1),2,KV19))</f>
        <v/>
      </c>
      <c r="KX19" s="192" t="str">
        <f ca="1">IF(KW19="","",IF(OR(RopeSkippingResultat[[#This Row],[Resultat]]=Stammdaten!$AX$22,RopeSkippingResultat[[#This Row],[Resultat]]=Stammdaten!$AX$19),Stammdaten!$AX$19,IF(ISNA(INDEX(INDIRECT(KW19),MATCH(RopeSkippingGerundet[[#This Row],[Rundung]],INDIRECT(KW19),KW$18))),IF(KW$18=-1,LARGE(INDIRECT(KW19),1),SMALL(INDIRECT(KW19),1)),INDEX(INDIRECT(KW19),MATCH(RopeSkippingGerundet[[#This Row],[Rundung]],INDIRECT(KW19),KW$18)))))</f>
        <v/>
      </c>
      <c r="KZ19" s="18" t="str">
        <f ca="1">IF(RopeSkippingSkalawert[[#This Row],[Skala-Wert]]="","",REPLACE(INDEX(StdDisziplinen[TabÜberschriftNote],KS$3),FIND("X",INDEX(StdDisziplinen[TabÜberschriftNote],KS$3),1),2,KV19))</f>
        <v/>
      </c>
      <c r="LA19" s="45" t="str">
        <f ca="1">IF(OR(KZ19="",RopeSkippingSkalawert[[#This Row],[Skala-Wert]]=Stammdaten!$AX$19),"",INDEX(INDIRECT(KZ19),MATCH(RopeSkippingSkalawert[[#This Row],[Skala-Wert]],INDIRECT(KW19),0)))</f>
        <v/>
      </c>
      <c r="LB19" s="31"/>
      <c r="LC19" s="599"/>
      <c r="LD19" s="190"/>
      <c r="LE19" s="586">
        <f>IF(LE$16,IF(LF$16=0.5,MROUND(AerobicResultat[[#This Row],[Resultat]],LF$16),ROUND(AerobicResultat[[#This Row],[Resultat]],LF$16)),ROUNDDOWN(AerobicResultat[[#This Row],[Resultat]],LF$16))</f>
        <v>0</v>
      </c>
      <c r="LF19" s="191" t="str">
        <f>IF(OR(Geschlecht[[#This Row],[Geschlecht (Skala)]]="",LC$16=""),"",MID(Geschlecht[[#This Row],[Geschlecht (Skala)]],1,1)&amp;MID(LC$16,1,1))</f>
        <v/>
      </c>
      <c r="LG19" s="190" t="str">
        <f>IF(OR(LF19="",AerobicResultat[[#This Row],[Resultat]]=""),"",REPLACE(INDEX(StdDisziplinen[TabÜberschriftResultat],LC$3),FIND("X",INDEX(StdDisziplinen[TabÜberschriftResultat],LC$3),1),2,LF19))</f>
        <v/>
      </c>
      <c r="LH19" s="31" t="str">
        <f ca="1">IF(LG19="","",IF(OR(AerobicResultat[[#This Row],[Resultat]]=Stammdaten!$AX$22,AerobicResultat[[#This Row],[Resultat]]=Stammdaten!$AX$19),Stammdaten!$AX$19,IF(ISNA(INDEX(INDIRECT(LG19),MATCH(AerobicGerundet[[#This Row],[Rundung]],INDIRECT(LG19),LG$18))),IF(LG$18=-1,LARGE(INDIRECT(LG19),1),SMALL(INDIRECT(LG19),1)),INDEX(INDIRECT(LG19),MATCH(AerobicGerundet[[#This Row],[Rundung]],INDIRECT(LG19),LG$18)))))</f>
        <v/>
      </c>
      <c r="LJ19" s="18" t="str">
        <f ca="1">IF(AerobicSkalawert[[#This Row],[Skala-Wert]]="","",REPLACE(INDEX(StdDisziplinen[TabÜberschriftNote],LC$3),FIND("X",INDEX(StdDisziplinen[TabÜberschriftNote],LC$3),1),2,LF19))</f>
        <v/>
      </c>
      <c r="LK19" s="45" t="str">
        <f ca="1">IF(OR(LJ19="",AerobicSkalawert[[#This Row],[Skala-Wert]]=Stammdaten!$AX$19),"",INDEX(INDIRECT(LJ19),MATCH(AerobicSkalawert[[#This Row],[Skala-Wert]],INDIRECT(LG19),0)))</f>
        <v/>
      </c>
      <c r="LL19" s="31"/>
      <c r="LM19" s="45" t="str">
        <f ca="1">IF(TanzenSkalawert[[#This Row],[Skala-Wert]]=$A$3,$A$2,IF(ISNUMBER(TanzenSkalawert[[#This Row],[Skala-Wert]]),TanzenNote[[#This Row],[Note]],"!"))</f>
        <v>!</v>
      </c>
      <c r="LN19" s="45" t="str">
        <f ca="1">IF(RopeSkippingSkalawert[[#This Row],[Skala-Wert]]=$A$3,$A$2,IF(ISNUMBER(RopeSkippingSkalawert[[#This Row],[Skala-Wert]]),RopeSkippingNote[[#This Row],[Note]],"!"))</f>
        <v>!</v>
      </c>
      <c r="LO19" s="45" t="str">
        <f ca="1">IF(AerobicSkalawert[[#This Row],[Skala-Wert]]=$A$3,$A$2,IF(ISNUMBER(AerobicSkalawert[[#This Row],[Skala-Wert]]),AerobicNote[[#This Row],[Note]],"!"))</f>
        <v>!</v>
      </c>
      <c r="LP19" s="36">
        <f ca="1">ISNUMBER(LM19)+ISNUMBER(LN19)+ISNUMBER(LO19)</f>
        <v>0</v>
      </c>
      <c r="LQ19" s="36">
        <f ca="1">COUNTIF(LM19:LO19,$A$2)</f>
        <v>0</v>
      </c>
      <c r="LR19" s="244" t="str">
        <f t="shared" ref="LR19:LR48" ca="1" si="22">IF(LM19="!","nd",IF(LM19=MAX($LM19:$LO19),$LU$14,IF(AND(LM19=$A$2,NOT(OR(ISNUMBER($LN19),ISNUMBER($LO19)))),$A$2,"nr")))</f>
        <v>nd</v>
      </c>
      <c r="LS19" s="244" t="str">
        <f t="shared" ref="LS19:LS48" ca="1" si="23">IF(LN19="!","nd",IF(AND(LN19=MAX($LM19:$LO19),NOT($LM19=MAX($LM19:$LO19))),$LU$14,IF(AND(LN19=$A$2,NOT(OR(OR($LM19=$A$2,ISNUMBER($LM19)),ISNUMBER($LO19)))),$A$2,"nr")))</f>
        <v>nd</v>
      </c>
      <c r="LT19" s="244" t="str">
        <f t="shared" ref="LT19:LT48" ca="1" si="24">IF(LO19="!","nd",IF(AND(LO19=MAX($LM19:$LO19),NOT(OR($LM19=MAX($LM19:$LO19),$LN19=MAX($LM19:$LO19)))),$LU$14,IF(AND(LO19=$A$2,NOT(OR(OR($LM19=$A$2,ISNUMBER($LM19)),OR($LN19=$A$2,ISNUMBER($LN19))))),$A$2,"nr")))</f>
        <v>nd</v>
      </c>
      <c r="LU19" s="242" t="str">
        <f t="shared" ref="LU19:LU48" ca="1" si="25">IF(LR19=$LU$14,$LM$3,IF(LS19=$LU$14,$LN$3,IF(LT19=$LU$14,$LO$3,"")))</f>
        <v/>
      </c>
      <c r="LV19" s="242" t="str">
        <f ca="1">IF(LR19=$A$2,$LM$3,IF(LS19=$A$2,$LN$3,IF(LT19=$A$2,$LO$3,"")))</f>
        <v/>
      </c>
      <c r="LW19" s="242" t="str">
        <f ca="1">IF(SUM(LU19:LV19)=0,"",SUM(LU19:LV19))</f>
        <v/>
      </c>
      <c r="LX19" s="242" t="str">
        <f ca="1">IF(LW19="",Stammdaten!$AM$4,INDEX(INDIRECT($B$4),MATCH($LW19,INDIRECT($B$5),0)))</f>
        <v>Darstellen und Tanzen</v>
      </c>
      <c r="LY19" s="242" t="str">
        <f ca="1">IF(LW19="",Stammdaten!$AY$27,IF(ISNUMBER(LU19),LX19,IF(ISNUMBER(LV19),TRIM(Stammdaten!$AX$25),"")))</f>
        <v>nicht durchgeführt</v>
      </c>
      <c r="LZ19" s="242" t="str">
        <f ca="1">IFERROR(REPLACE(LX19,FIND("-",LX19,1),1,""),LX19)</f>
        <v>Darstellen und Tanzen</v>
      </c>
      <c r="MA19" s="242" t="str">
        <f ca="1">IFERROR(INDEX(INDIRECT($MA$1),$LU19),"")</f>
        <v/>
      </c>
      <c r="MB19" s="242" t="str">
        <f t="shared" ref="MB19:MB48" ca="1" si="26">LZ19&amp;$MB$2&amp;$MB$3</f>
        <v>Darstellen und TanzenResultat[@Resultat]</v>
      </c>
      <c r="MC19" s="274" t="str">
        <f ca="1">IFERROR(IF(MA19=0.5,TEXT(INDIRECT(MB19),"#.0"),IF(MA19=0,TEXT(INDIRECT(MB19),"#"),"")),"")</f>
        <v/>
      </c>
      <c r="MD19" s="242" t="str">
        <f ca="1">LZ19&amp;$MD$1&amp;$MD$2</f>
        <v>Darstellen und TanzenSkalawert[@[Skala-Wert]]</v>
      </c>
      <c r="ME19" s="274" t="str">
        <f ca="1">IFERROR(IF(MA19="","",IF(MA19=0,TEXT(INDIRECT(MD19),"#"),IF(AND(MA19=0.5,RIGHT(INDIRECT(MD19),2)=".5"),TEXT(INDIRECT(MD19),"#.0"),TEXT(INDIRECT(MD19),"#")))),"")</f>
        <v/>
      </c>
      <c r="MF19" s="47" t="str">
        <f t="shared" ref="MF19:MF48" ca="1" si="27">IF(ISNUMBER(LW19),INDEX(INDIRECT($MG$1),MATCH(LW19,INDIRECT($B$5),0)),"")</f>
        <v/>
      </c>
      <c r="MG19" s="200" t="str">
        <f ca="1">$MG$2&amp;LEFT(MF19,1)&amp;"]"</f>
        <v>StdDisziplinen[MaxTextSt]</v>
      </c>
      <c r="MH19" s="200" t="str">
        <f ca="1">IFERROR(INDEX(INDIRECT(MG19),MATCH(LW19,INDIRECT($B$5),0)),"")</f>
        <v/>
      </c>
      <c r="MI19" s="45"/>
      <c r="MJ19" s="98" t="str">
        <f ca="1">IF(LP19&gt;0,MAX(LM19:LO19),IF(LQ19&gt;0,$A$3,INDEX(StdFehler[StdFehler],4)))</f>
        <v>Zu wenige Noten</v>
      </c>
      <c r="MK19" s="45"/>
      <c r="ML19" s="37"/>
      <c r="MM19" s="190"/>
      <c r="MN19" s="586">
        <f>IF(MN$16,IF(MO$16=0.5,MROUND(BasketballResultat[[#This Row],[Resultat]],MO$16),ROUND(BasketballResultat[[#This Row],[Resultat]],MO$16)),ROUNDDOWN(BasketballResultat[[#This Row],[Resultat]],MO$16))</f>
        <v>0</v>
      </c>
      <c r="MO19" s="191" t="str">
        <f>IF(OR(Geschlecht[[#This Row],[Geschlecht (Skala)]]="",ML$16=""),"",MID(Geschlecht[[#This Row],[Geschlecht (Skala)]],1,1)&amp;MID(ML$16,1,1))</f>
        <v/>
      </c>
      <c r="MP19" s="190" t="str">
        <f>IF(OR(MO19="",BasketballResultat[[#This Row],[Resultat]]=""),"",REPLACE(INDEX(StdDisziplinen[TabÜberschriftResultat],ML$3),FIND("X",INDEX(StdDisziplinen[TabÜberschriftResultat],ML$3),1),2,MO19))</f>
        <v/>
      </c>
      <c r="MQ19" s="31" t="str">
        <f ca="1">IF(MP19="","",IF(OR(BasketballResultat[[#This Row],[Resultat]]=Stammdaten!$AX$22,BasketballResultat[[#This Row],[Resultat]]=Stammdaten!$AX$19),Stammdaten!$AX$19,IF(ISNA(INDEX(INDIRECT(MP19),MATCH(BasketballGerundet[[#This Row],[Rundung]],INDIRECT(MP19),MP$18))),IF(MP$18=-1,LARGE(INDIRECT(MP19),1),SMALL(INDIRECT(MP19),1)),INDEX(INDIRECT(MP19),MATCH(BasketballGerundet[[#This Row],[Rundung]],INDIRECT(MP19),MP$18)))))</f>
        <v/>
      </c>
      <c r="MS19" s="18" t="str">
        <f ca="1">IF(BasketballSkalawert[[#This Row],[Skala-Wert]]="","",REPLACE(INDEX(StdDisziplinen[TabÜberschriftNote],ML$3),FIND("X",INDEX(StdDisziplinen[TabÜberschriftNote],ML$3),1),2,MO19))</f>
        <v/>
      </c>
      <c r="MT19" s="31" t="str">
        <f ca="1">IF(OR(MS19="",BasketballSkalawert[[#This Row],[Skala-Wert]]=Stammdaten!$AX$19),"",INDEX(INDIRECT(MS19),MATCH(BasketballSkalawert[[#This Row],[Skala-Wert]],INDIRECT(MP19),0)))</f>
        <v/>
      </c>
      <c r="MU19" s="31"/>
      <c r="MV19" s="37"/>
      <c r="MW19" s="190"/>
      <c r="MX19" s="586">
        <f>IF(MX$16,IF(MY$16=0.5,MROUND(FussballResultat[[#This Row],[Resultat]],MY$16),ROUND(FussballResultat[[#This Row],[Resultat]],MY$16)),ROUNDDOWN(FussballResultat[[#This Row],[Resultat]],MY$16))</f>
        <v>0</v>
      </c>
      <c r="MY19" s="191" t="str">
        <f>IF(OR(Geschlecht[[#This Row],[Geschlecht (Skala)]]="",MV$16=""),"",MID(Geschlecht[[#This Row],[Geschlecht (Skala)]],1,1)&amp;MID(MV$16,1,1))</f>
        <v/>
      </c>
      <c r="MZ19" s="190" t="str">
        <f>IF(OR(MY19="",FussballResultat[[#This Row],[Resultat]]=""),"",REPLACE(INDEX(StdDisziplinen[TabÜberschriftResultat],MV$3),FIND("X",INDEX(StdDisziplinen[TabÜberschriftResultat],MV$3),1),2,MY19))</f>
        <v/>
      </c>
      <c r="NA19" s="31" t="str">
        <f ca="1">IF(MZ19="","",IF(OR(FussballResultat[[#This Row],[Resultat]]=Stammdaten!$AX$22,FussballResultat[[#This Row],[Resultat]]=Stammdaten!$AX$19),Stammdaten!$AX$19,IF(ISNA(INDEX(INDIRECT(MZ19),MATCH(FussballGerundet[[#This Row],[Rundung]],INDIRECT(MZ19),MZ$18))),IF(MZ$18=-1,LARGE(INDIRECT(MZ19),1),SMALL(INDIRECT(MZ19),1)),INDEX(INDIRECT(MZ19),MATCH(FussballGerundet[[#This Row],[Rundung]],INDIRECT(MZ19),MZ$18)))))</f>
        <v/>
      </c>
      <c r="NC19" s="18" t="str">
        <f ca="1">IF(FussballSkalawert[[#This Row],[Skala-Wert]]="","",REPLACE(INDEX(StdDisziplinen[TabÜberschriftNote],MV$3),FIND("X",INDEX(StdDisziplinen[TabÜberschriftNote],MV$3),1),2,MY19))</f>
        <v/>
      </c>
      <c r="ND19" s="31" t="str">
        <f ca="1">IF(OR(NC19="",FussballSkalawert[[#This Row],[Skala-Wert]]=Stammdaten!$AX$19),"",INDEX(INDIRECT(NC19),MATCH(FussballSkalawert[[#This Row],[Skala-Wert]],INDIRECT(MZ19),0)))</f>
        <v/>
      </c>
      <c r="NE19" s="31"/>
      <c r="NF19" s="37"/>
      <c r="NG19" s="190"/>
      <c r="NH19" s="586">
        <f>IF(NH$16,IF(NI$16=0.5,MROUND(HandballResultat[[#This Row],[Resultat]],NI$16),ROUND(HandballResultat[[#This Row],[Resultat]],NI$16)),ROUNDDOWN(HandballResultat[[#This Row],[Resultat]],NI$16))</f>
        <v>0</v>
      </c>
      <c r="NI19" s="191" t="str">
        <f>IF(OR(Geschlecht[[#This Row],[Geschlecht (Skala)]]="",NF$16=""),"",MID(Geschlecht[[#This Row],[Geschlecht (Skala)]],1,1)&amp;MID(NF$16,1,1))</f>
        <v/>
      </c>
      <c r="NJ19" s="190" t="str">
        <f>IF(OR(NI19="",HandballResultat[[#This Row],[Resultat]]=""),"",REPLACE(INDEX(StdDisziplinen[TabÜberschriftResultat],NF$3),FIND("X",INDEX(StdDisziplinen[TabÜberschriftResultat],NF$3),1),2,NI19))</f>
        <v/>
      </c>
      <c r="NK19" s="31" t="str">
        <f ca="1">IF(NJ19="","",IF(OR(HandballResultat[[#This Row],[Resultat]]=Stammdaten!$AX$22,HandballResultat[[#This Row],[Resultat]]=Stammdaten!$AX$19),Stammdaten!$AX$19,IF(ISNA(INDEX(INDIRECT(NJ19),MATCH(HandballGerundet[[#This Row],[Rundung]],INDIRECT(NJ19),NJ$18))),IF(NJ$18=-1,LARGE(INDIRECT(NJ19),1),SMALL(INDIRECT(NJ19),1)),INDEX(INDIRECT(NJ19),MATCH(HandballGerundet[[#This Row],[Rundung]],INDIRECT(NJ19),NJ$18)))))</f>
        <v/>
      </c>
      <c r="NM19" s="18" t="str">
        <f ca="1">IF(HandballSkalawert[[#This Row],[Skala-Wert]]="","",REPLACE(INDEX(StdDisziplinen[TabÜberschriftNote],NF$3),FIND("X",INDEX(StdDisziplinen[TabÜberschriftNote],NF$3),1),2,NI19))</f>
        <v/>
      </c>
      <c r="NN19" s="31" t="str">
        <f ca="1">IF(OR(NM19="",HandballSkalawert[[#This Row],[Skala-Wert]]=Stammdaten!$AX$19),"",INDEX(INDIRECT(NM19),MATCH(HandballSkalawert[[#This Row],[Skala-Wert]],INDIRECT(NJ19),0)))</f>
        <v/>
      </c>
      <c r="NO19" s="31"/>
      <c r="NP19" s="37"/>
      <c r="NQ19" s="190"/>
      <c r="NR19" s="586">
        <f>IF(NR$16,IF(NS$16=0.5,MROUND(UnihockeyResultat[[#This Row],[Resultat]],NS$16),ROUND(UnihockeyResultat[[#This Row],[Resultat]],NS$16)),ROUNDDOWN(UnihockeyResultat[[#This Row],[Resultat]],NS$16))</f>
        <v>0</v>
      </c>
      <c r="NS19" s="191" t="str">
        <f>IF(OR(Geschlecht[[#This Row],[Geschlecht (Skala)]]="",NP$16=""),"",MID(Geschlecht[[#This Row],[Geschlecht (Skala)]],1,1)&amp;MID(NP$16,1,1))</f>
        <v/>
      </c>
      <c r="NT19" s="190" t="str">
        <f>IF(OR(NS19="",UnihockeyResultat[[#This Row],[Resultat]]=""),"",REPLACE(INDEX(StdDisziplinen[TabÜberschriftResultat],NP$3),FIND("X",INDEX(StdDisziplinen[TabÜberschriftResultat],NP$3),1),2,NS19))</f>
        <v/>
      </c>
      <c r="NU19" s="31" t="str">
        <f ca="1">IF(NT19="","",IF(OR(UnihockeyResultat[[#This Row],[Resultat]]=Stammdaten!$AX$22,UnihockeyResultat[[#This Row],[Resultat]]=Stammdaten!$AX$19),Stammdaten!$AX$19,IF(ISNA(INDEX(INDIRECT(NT19),MATCH(UnihockeyGerundet[[#This Row],[Rundung]],INDIRECT(NT19),NT$18))),IF(NT$18=-1,LARGE(INDIRECT(NT19),1),SMALL(INDIRECT(NT19),1)),INDEX(INDIRECT(NT19),MATCH(UnihockeyGerundet[[#This Row],[Rundung]],INDIRECT(NT19),NT$18)))))</f>
        <v/>
      </c>
      <c r="NW19" s="18" t="str">
        <f ca="1">IF(UnihockeySkalawert[[#This Row],[Skala-Wert]]="","",REPLACE(INDEX(StdDisziplinen[TabÜberschriftNote],NP$3),FIND("X",INDEX(StdDisziplinen[TabÜberschriftNote],NP$3),1),2,NS19))</f>
        <v/>
      </c>
      <c r="NX19" s="31" t="str">
        <f ca="1">IF(OR(NW19="",UnihockeySkalawert[[#This Row],[Skala-Wert]]=Stammdaten!$AX$19),"",INDEX(INDIRECT(NW19),MATCH(UnihockeySkalawert[[#This Row],[Skala-Wert]],INDIRECT(NT19),0)))</f>
        <v/>
      </c>
      <c r="NY19" s="31"/>
      <c r="NZ19" s="597"/>
      <c r="OA19" s="190"/>
      <c r="OB19" s="587">
        <f>IF(OB$16,IF(OC$16=0.5,MROUND(VolleyballResultat[[#This Row],[Resultat]],OC$16),ROUND(VolleyballResultat[[#This Row],[Resultat]],OC$16)),ROUNDDOWN(VolleyballResultat[[#This Row],[Resultat]],OC$16))</f>
        <v>0</v>
      </c>
      <c r="OC19" s="191" t="str">
        <f>IF(OR(Geschlecht[[#This Row],[Geschlecht (Skala)]]="",NZ$16=""),"",MID(Geschlecht[[#This Row],[Geschlecht (Skala)]],1,1)&amp;MID(NZ$16,1,1))</f>
        <v/>
      </c>
      <c r="OD19" s="190" t="str">
        <f>IF(OR(OC19="",VolleyballResultat[[#This Row],[Resultat]]=""),"",REPLACE(INDEX(StdDisziplinen[TabÜberschriftResultat],NZ$3),FIND("X",INDEX(StdDisziplinen[TabÜberschriftResultat],NZ$3),1),2,OC19))</f>
        <v/>
      </c>
      <c r="OE19" s="192" t="str">
        <f ca="1">IF(OD19="","",IF(OR(VolleyballResultat[[#This Row],[Resultat]]=Stammdaten!$AX$22,VolleyballResultat[[#This Row],[Resultat]]=Stammdaten!$AX$19),Stammdaten!$AX$19,IF(ISNA(INDEX(INDIRECT(OD19),MATCH(VolleyballGerundet[[#This Row],[Rundung]],INDIRECT(OD19),OD$18))),IF(OD$18=-1,LARGE(INDIRECT(OD19),1),SMALL(INDIRECT(OD19),1)),INDEX(INDIRECT(OD19),MATCH(VolleyballGerundet[[#This Row],[Rundung]],INDIRECT(OD19),OD$18)))))</f>
        <v/>
      </c>
      <c r="OG19" s="18" t="str">
        <f ca="1">IF(VolleyballSkalawert[[#This Row],[Skala-Wert]]="","",REPLACE(INDEX(StdDisziplinen[TabÜberschriftNote],NZ$3),FIND("X",INDEX(StdDisziplinen[TabÜberschriftNote],NZ$3),1),2,OC19))</f>
        <v/>
      </c>
      <c r="OH19" s="31" t="str">
        <f ca="1">IF(OR(OG19="",VolleyballSkalawert[[#This Row],[Skala-Wert]]=Stammdaten!$AX$19),"",INDEX(INDIRECT(OG19),MATCH(VolleyballSkalawert[[#This Row],[Skala-Wert]],INDIRECT(OD19),0)))</f>
        <v/>
      </c>
      <c r="OI19" s="45"/>
      <c r="OJ19" s="31">
        <f ca="1">IF(BasketballSkalawert[[#This Row],[Skala-Wert]]=$A$3,$A$2,IF(BasketballNote[[#This Row],[Note]]="",0,BasketballNote[[#This Row],[Note]]))</f>
        <v>0</v>
      </c>
      <c r="OK19" s="31">
        <f ca="1">IF(FussballSkalawert[[#This Row],[Skala-Wert]]=$A$3,$A$2,IF(FussballNote[[#This Row],[Note]]="",0,FussballNote[[#This Row],[Note]]))</f>
        <v>0</v>
      </c>
      <c r="OL19" s="31">
        <f ca="1">IF(HandballSkalawert[[#This Row],[Skala-Wert]]=$A$3,$A$2,IF(HandballNote[[#This Row],[Note]]="",0,HandballNote[[#This Row],[Note]]))</f>
        <v>0</v>
      </c>
      <c r="OM19" s="31">
        <f ca="1">IF(UnihockeySkalawert[[#This Row],[Skala-Wert]]=$A$3,$A$2,IF(UnihockeyNote[[#This Row],[Note]]="",0,UnihockeyNote[[#This Row],[Note]]))</f>
        <v>0</v>
      </c>
      <c r="ON19" s="31">
        <f ca="1">IF(VolleyballSkalawert[[#This Row],[Skala-Wert]]=$A$3,$A$2,IF(VolleyballNote[[#This Row],[Note]]="",0,VolleyballNote[[#This Row],[Note]]))</f>
        <v>0</v>
      </c>
      <c r="OO19" s="202">
        <f t="shared" ref="OO19:OO48" ca="1" si="28">AND(ISNUMBER(OJ19),OJ19&gt;0)+AND(ISNUMBER(OK19),OK19&gt;0)+AND(ISNUMBER(OL19),OL19&gt;0)+AND(ISNUMBER(OM19),OM19&gt;0)+AND(ISNUMBER(ON19),ON19&gt;0)</f>
        <v>0</v>
      </c>
      <c r="OP19" s="202">
        <f t="shared" ref="OP19:OP48" ca="1" si="29">COUNTIF($OJ19:$ON19,$A$2)</f>
        <v>0</v>
      </c>
      <c r="OQ19" s="202">
        <f ca="1">IF((OO19+OP19)&lt;$OQ$13,0,1)</f>
        <v>0</v>
      </c>
      <c r="OR19" s="96" t="str">
        <f ca="1">IF(OQ19,IF(OO19&gt;0,MAX(OJ19:ON19),$A$2),"!")</f>
        <v>!</v>
      </c>
      <c r="OS19" s="96" t="str">
        <f t="shared" ref="OS19:OS48" ca="1" si="30">IF(OQ19,IF(OO19&gt;1,LARGE(OJ19:ON19,$OS$16),$A$2),"!")</f>
        <v>!</v>
      </c>
      <c r="OT19" s="96" t="str">
        <f t="shared" ref="OT19:OT48" ca="1" si="31">IF(OQ19,IF(OO19&gt;2,LARGE(OJ19:ON19,$OT$16),$A$2),"!")</f>
        <v>!</v>
      </c>
      <c r="OU19" s="96" t="str">
        <f ca="1">IF(NOT(OQ19),INDEX(StdFehler[StdFehler],4),IF(COUNTIF(OR19:OT19,$A$2)&gt;=$OQ$13,$A$3,ROUND(AVERAGE(OR19:OT19)/$RX$4,0)*$RX$4))</f>
        <v>Zu wenige Noten</v>
      </c>
      <c r="OV19" s="244" t="str">
        <f ca="1">IF(OJ19=0,"nd",IF(NOT(OR(OJ19=$OR19,OJ19=$OS19,OJ19=$OT19)),"nr",IF(OJ19=$OR19,1,IF(OJ19=$OS19,2,3))))</f>
        <v>nd</v>
      </c>
      <c r="OW19" s="244" t="str">
        <f ca="1">IF(OK19=0,"nd",IF(NOT(OR(OK19=$OR19,OK19=$OS19,OK19=$OT19)),"nr",IF(AND(OK19=$OR19,NOT(OV19=1)),1,IF(AND(OK19=$OS19,NOT(OV19=2)),2,IF(AND(OK19=$OT19,NOT(OV19=3)),3)))))</f>
        <v>nd</v>
      </c>
      <c r="OX19" s="244" t="str">
        <f ca="1">IF(OL19=0,"nd",IF(NOT(OR(OL19=$OR19,OL19=$OS19,OL19=$OT19)),"nr",IF(AND(OL19=$OR19,NOT(OR(OV19=1,OW19=1))),1,IF(AND(OL19=$OS19,NOT(OR(OV19=2,OW19=2))),2,IF(AND(OL19=$OT19,NOT(OR(OV19=3,OW19=3))),3)))))</f>
        <v>nd</v>
      </c>
      <c r="OY19" s="244" t="str">
        <f ca="1">IF(OM19=0,"nd",IF(NOT(OR(OM19=$OR19,OM19=$OS19,OM19=$OT19)),"nr",IF(AND(OM19=$OR19,NOT(OR(OV19=1,OW19=1,OX19=1))),1,IF(AND(OM19=$OS19,NOT(OR(OV19=2,OW19=2,OX19=2))),2,IF(AND(OM19=$OT19,NOT(OR(OV19=3,OW19=3,OX19=3))),3)))))</f>
        <v>nd</v>
      </c>
      <c r="OZ19" s="244" t="str">
        <f ca="1">IF(ON19=0,"nd",IF(NOT(OR(ON19=$OR19,ON19=$OS19,ON19=$OT19)),"nr",IF(AND(ON19=$OR19,NOT(OR(OV19=1,OW19=1,OX19=1,OY19=1))),1,IF(AND(ON19=$OS19,NOT(OR(OV19=2,OW19=2,OX19=2,OY19=2))),2,IF(AND(ON19=$OT19,NOT(OR(OV19=3,OW19=3,OX19=3,OY19=3))),3)))))</f>
        <v>nd</v>
      </c>
      <c r="PA19" s="202" t="b">
        <f ca="1">IF($OV19=PA$14,$OV$14,IF($OW19=PA$14,$OW$14,IF($OX19=PA$14,$OX$14,IF($OY19=PA$14,$OY$14,IF($OZ19=PA$14,$OZ$14)))))</f>
        <v>0</v>
      </c>
      <c r="PB19" s="202">
        <f ca="1">IF(AND(OO19=0,OP19=0),1,0)</f>
        <v>1</v>
      </c>
      <c r="PC19" s="202">
        <f ca="1">IF(OR(OQ19,PB19),0,1)</f>
        <v>0</v>
      </c>
      <c r="PD19" s="96" t="str">
        <f ca="1">IF(PC19,MAX($OJ19:$ON19),"")</f>
        <v/>
      </c>
      <c r="PE19" s="96" t="str">
        <f ca="1">IF(PC19,LARGE($OJ19:$ON19,$OS$16),"")</f>
        <v/>
      </c>
      <c r="PF19" s="200">
        <f ca="1">IF(AND($PC19,AND($PD19=$PE19,$PD19&lt;&gt;0,$PE19&lt;&gt;0)),1,0)</f>
        <v>0</v>
      </c>
      <c r="PG19" s="202" t="str">
        <f ca="1">IF(AND($PC19,AND($OO19=0,$OP19=1)),INDEX($OJ$14:$ON$14,,MATCH($A$2,$OJ19:$ON19,0)),"")</f>
        <v/>
      </c>
      <c r="PH19" s="200" t="str">
        <f ca="1">IF(AND($PC19,AND($OO19=1,$OP19=0)),INDEX($OJ$14:$ON$14,,MATCH($PD19,$OJ19:$ON19,0)),"")</f>
        <v/>
      </c>
      <c r="PI19" s="200" t="str">
        <f ca="1">IF(AND($PC19,AND($OO19=1,$OP19=1)),INDEX($OJ$14:$ON$14,,MATCH($PD19,$OJ19:$ON19,0)),"")</f>
        <v/>
      </c>
      <c r="PJ19" s="200" t="str">
        <f ca="1">IF(AND($PC19,AND($OO19=0,$OP19=2)),INDEX($OJ$14:$ON$14,,MATCH($A$2,$OJ19:$ON19,0)),"")</f>
        <v/>
      </c>
      <c r="PK19" s="242" t="str">
        <f ca="1">IF(AND($PC19,AND($OO19=2,$OP19=0)),INDEX($OJ$14:$ON$14,,MATCH($PD19,$OJ19:$ON19,0)),"")</f>
        <v/>
      </c>
      <c r="PL19" s="242" t="str">
        <f ca="1">IF(SUM($PG19:$PK19)=0,"",SUM($PG19:$PK19))</f>
        <v/>
      </c>
      <c r="PM19" s="242" t="str">
        <f ca="1">IF(ISNUMBER($PA19),$PA19,IF(ISNUMBER($PL19),$PL19,""))</f>
        <v/>
      </c>
      <c r="PN19" s="242" t="str">
        <f ca="1">IF($PB19,$PM$11,INDEX(INDIRECT($B$4),MATCH($PM19,INDIRECT($B$5),0)))</f>
        <v>Erste Spielsportart</v>
      </c>
      <c r="PO19" s="242" t="str">
        <f ca="1">IF(PN19=$PM$11,Stammdaten!$AY$27,IF(PR19=$A$2,TRIM(Stammdaten!$AX$25),""))</f>
        <v>nicht durchgeführt</v>
      </c>
      <c r="PP19" s="242" t="str">
        <f ca="1">IFERROR(INDEX(INDIRECT($PP$2),MATCH(PN19,INDIRECT($B$4),0)),"")</f>
        <v/>
      </c>
      <c r="PQ19" s="202" t="str">
        <f ca="1">$PN19&amp;$PQ$1&amp;$PQ$2</f>
        <v>Erste SpielsportartResultat[@Resultat]</v>
      </c>
      <c r="PR19" s="98" t="str">
        <f ca="1">IFERROR(INDEX(INDIRECT(PQ19),,),"")</f>
        <v/>
      </c>
      <c r="PS19" s="202" t="str">
        <f ca="1">IF(ISNUMBER(PR19),IF($PN19=$ON$10,TEXT(PR19,"#"),TEXT(PR19,"#.00")),"")</f>
        <v/>
      </c>
      <c r="PT19" s="202" t="str">
        <f ca="1">$PN19&amp;$PT$1&amp;$PT$2</f>
        <v>Erste SpielsportartSkalawert[@[Skala-Wert]]</v>
      </c>
      <c r="PU19" s="98" t="str">
        <f ca="1">IFERROR(INDEX(INDIRECT(PT19),,),"")</f>
        <v/>
      </c>
      <c r="PV19" s="202" t="str">
        <f ca="1">IF(ISNUMBER(PU19),IF($PN19=$ON$10,TEXT(PU19,"#"),TEXT(PU19,"#.0")),"")</f>
        <v/>
      </c>
      <c r="PW19" s="202" t="str">
        <f ca="1">IF(AND($PN19=$ON$10,OR(ISNUMBER(PU19),PO19=$A$3)),INDEX(INDIRECT($PX$1),MATCH($PN19,INDIRECT($B$4),0)),"")</f>
        <v/>
      </c>
      <c r="PX19" s="202" t="str">
        <f ca="1">$PX$2&amp;LEFT(PW19,1)&amp;"]"</f>
        <v>StdDisziplinen[MaxTextSt]</v>
      </c>
      <c r="PY19" s="202" t="str">
        <f ca="1">IFERROR(INDEX(INDIRECT(PX19),MATCH($PN19,INDIRECT($B$4),0)),"")</f>
        <v/>
      </c>
      <c r="PZ19" s="202" t="b">
        <f ca="1">IF($OV19=PZ$14,$OV$14,IF($OW19=PZ$14,$OW$14,IF($OX19=PZ$14,$OX$14,IF($OY19=PZ$14,$OY$14,IF($OZ19=PZ$14,$OZ$14)))))</f>
        <v>0</v>
      </c>
      <c r="QA19" s="202" t="str">
        <f ca="1">IF(AND($PC19,AND($OO19=1,$OP19=1)),INDEX($OJ$14:$ON$14,,MATCH($A$2,$OJ19:$ON19,0)),"")</f>
        <v/>
      </c>
      <c r="QB19" s="202" t="str">
        <f t="shared" ref="QB19:QB48" ca="1" si="32">IF(NOT(AND($PC19,AND($GON9=0,$OP19=2))),"",IF($PJ19=20,INDEX($OK$14:$ON$14,,MATCH($A$2,$OK19:$ON19,0)),IF($PJ19=21,INDEX($OL$14:$ON$14,,MATCH($A$2,$OL19:$ON19,0)),IF($PJ19=22,INDEX($OM$14:$ON$14,,MATCH($A$2,$OM19:$ON19,0)),IF($PJ19=23,INDEX($ON$14,,MATCH($A$2,$ON19,0)))))))</f>
        <v/>
      </c>
      <c r="QC19" s="202" t="str">
        <f ca="1">IF(NOT(AND($PC19,AND($OO19=2,$OP19=0))),"",IF(NOT($PF19),INDEX($OJ$14:$ON$14,,MATCH($PE19,$OJ19:$ON19,0)),""))</f>
        <v/>
      </c>
      <c r="QD19" s="202" t="str">
        <f ca="1">IF(NOT(AND($PC19,AND($OO19=2,$OP19=0))),"",IF($PF19,IF($PK19=20,INDEX($OK$14:$ON$14,,MATCH($PE19,$OK19:$ON19,0)),IF($PK19=21,INDEX($OL$14:$ON$14,,MATCH($PE19,$OL19:$ON19,0)),IF($PK19=22,INDEX($OM$14:$ON$14,,MATCH($PE19,$OM19:$ON19,0)),IF($PK19=23,INDEX($ON$14,,MATCH($PE19,$ON19,0)),)))),""))</f>
        <v/>
      </c>
      <c r="QE19" s="242" t="str">
        <f ca="1">IF(SUM($QA19:$QD19)=0,"",SUM($QA19:$QD19))</f>
        <v/>
      </c>
      <c r="QF19" s="242" t="str">
        <f ca="1">IF(ISNUMBER($PZ19),$PZ19,IF(ISNUMBER($QE19),$QE19,""))</f>
        <v/>
      </c>
      <c r="QG19" s="242" t="str">
        <f ca="1">IF($PB19,$QF$11,IFERROR(INDEX(INDIRECT($B$4),MATCH($QF19,INDIRECT($B$5),0)),$QF$11))</f>
        <v>Zweite Spielsportart</v>
      </c>
      <c r="QH19" s="242" t="str">
        <f ca="1">IF(QG19=$QF$11,Stammdaten!$AY$27,IF(QK19=$A$2,TRIM(Stammdaten!$AX$25),""))</f>
        <v>nicht durchgeführt</v>
      </c>
      <c r="QI19" s="242" t="str">
        <f ca="1">IFERROR(INDEX(INDIRECT($QI$2),MATCH(QG19,INDIRECT($B$4),0)),"")</f>
        <v/>
      </c>
      <c r="QJ19" s="202" t="str">
        <f ca="1">$QG19&amp;$QJ$1&amp;$QJ$2</f>
        <v>Zweite SpielsportartResultat[@Resultat]</v>
      </c>
      <c r="QK19" s="98" t="str">
        <f ca="1">IFERROR(INDEX(INDIRECT(QJ19),,),"")</f>
        <v/>
      </c>
      <c r="QL19" s="202" t="str">
        <f ca="1">IF(ISNUMBER(QK19),IF($QG19=$ON$10,TEXT(QK19,"#"),TEXT(QK19,"#.00")),"")</f>
        <v/>
      </c>
      <c r="QM19" s="202" t="str">
        <f ca="1">$QG19&amp;$QM$1&amp;$QM$2</f>
        <v>Zweite SpielsportartSkalawert[@[Skala-Wert]]</v>
      </c>
      <c r="QN19" s="98" t="str">
        <f ca="1">IFERROR(INDEX(INDIRECT(QM19),,),"")</f>
        <v/>
      </c>
      <c r="QO19" s="202" t="str">
        <f ca="1">IF(ISNUMBER(QN19),IF($QG19=$ON$10,TEXT(QN19,"#"),TEXT(QN19,"#.0")),"")</f>
        <v/>
      </c>
      <c r="QP19" s="202" t="str">
        <f ca="1">IF(AND($QG19=$ON$10,OR(ISNUMBER(QN19),QH19=$A$3)),INDEX(INDIRECT($QQ$1),MATCH($QG19,INDIRECT($B$4),0)),"")</f>
        <v/>
      </c>
      <c r="QQ19" s="202" t="str">
        <f ca="1">$QQ$2&amp;LEFT(QP19,1)&amp;"]"</f>
        <v>StdDisziplinen[MaxTextSt]</v>
      </c>
      <c r="QR19" s="202" t="str">
        <f ca="1">IFERROR(INDEX(INDIRECT(QQ19),MATCH($QG19,INDIRECT($B$4),0)),"")</f>
        <v/>
      </c>
      <c r="QS19" s="202" t="b">
        <f ca="1">IF($OV19=QS$14,$OV$14,IF($OW19=QS$14,$OW$14,IF($OX19=QS$14,$OX$14,IF($OY19=QS$14,$OY$14,IF($OZ19=QS$14,$OZ$14)))))</f>
        <v>0</v>
      </c>
      <c r="QT19" s="242" t="str">
        <f t="shared" ref="QT19:QT48" ca="1" si="33">IFERROR(INDEX(INDIRECT($B$4),MATCH(QS19,INDIRECT($B$5),0)),$QT$11)</f>
        <v>Dritte Spielsportart</v>
      </c>
      <c r="QU19" s="242" t="str">
        <f ca="1">IF(QT19=$QT$11,MID(Stammdaten!$AX$27,2,LEN(Stammdaten!$AX$27)),IF(QX19=$A$2,TRIM(Stammdaten!$AX$25),""))</f>
        <v>nicht durchgeführt</v>
      </c>
      <c r="QV19" s="242" t="str">
        <f t="shared" ref="QV19:QV48" ca="1" si="34">IFERROR(INDEX(INDIRECT($QV$2),MATCH(QT19,INDIRECT($B$4),0)),"")</f>
        <v/>
      </c>
      <c r="QW19" s="202" t="str">
        <f ca="1">$QT19&amp;$QW$1&amp;$QW$2</f>
        <v>Dritte SpielsportartResultat[@Resultat]</v>
      </c>
      <c r="QX19" s="98" t="str">
        <f ca="1">IFERROR(INDEX(INDIRECT(QW19),,),"")</f>
        <v/>
      </c>
      <c r="QY19" s="202" t="str">
        <f t="shared" ref="QY19:QY48" ca="1" si="35">IF(ISNUMBER(QX19),IF($QT19=$ON$10,TEXT(QX19,"#"),TEXT(QX19,"#.00")),"")</f>
        <v/>
      </c>
      <c r="QZ19" s="202" t="str">
        <f ca="1">$QT19&amp;$QZ$1&amp;$QZ$2</f>
        <v>Dritte SpielsportartSkalawert[@[Skala-Wert]]</v>
      </c>
      <c r="RA19" s="98" t="str">
        <f ca="1">IFERROR(INDEX(INDIRECT(QZ19),,),"")</f>
        <v/>
      </c>
      <c r="RB19" s="202" t="str">
        <f t="shared" ref="RB19:RB48" ca="1" si="36">IF(ISNUMBER(RA19),IF($QT19=$ON$10,TEXT(RA19,"#"),TEXT(RA19,"#.0")),"")</f>
        <v/>
      </c>
      <c r="RC19" s="202" t="str">
        <f ca="1">IF(AND($QT19=$ON$10,OR(ISNUMBER(RA19),QU19=$A$3)),INDEX(INDIRECT($RD$1),MATCH($QT19,INDIRECT($B$4),0)),"")</f>
        <v/>
      </c>
      <c r="RD19" s="202" t="str">
        <f ca="1">$RD$2&amp;LEFT(RC19,1)&amp;"]"</f>
        <v>StdDisziplinen[MaxTextSt]</v>
      </c>
      <c r="RE19" s="202" t="str">
        <f t="shared" ref="RE19:RE48" ca="1" si="37">IFERROR(INDEX(INDIRECT(RD19),MATCH($QT19,INDIRECT($B$4),0)),"")</f>
        <v/>
      </c>
      <c r="RF19" s="244">
        <f t="shared" ref="RF19:RF48" ca="1" si="38">IF(OR(OJ19=$A$2,NOT(OR(OJ19=$OR19,OJ19=$OS19,OJ19=$OT19))),99,IF(OJ19=$OR19,1,IF(OJ19=$OS19,2,3)))</f>
        <v>99</v>
      </c>
      <c r="RG19" s="244">
        <f t="shared" ref="RG19:RG48" ca="1" si="39">IF(OR(OK19=$A$2,NOT(OR(OK19=$OR19,OK19=$OS19,OK19=$OT19))),99,IF(AND(OK19=$OR19,NOT(RF19=1)),1,IF(AND(OK19=$OS19,NOT(RF19=2)),2,IF(AND(OK19=$OT19,NOT(RF19=3)),3))))</f>
        <v>99</v>
      </c>
      <c r="RH19" s="244">
        <f t="shared" ref="RH19:RH48" ca="1" si="40">IF(OR(OL19=$A$2,NOT(OR(OL19=$OR19,OL19=$OS19,OL19=$OT19))),99,IF(AND(OL19=$OR19,NOT(OR(RF19=1,RG19=1))),1,IF(AND(OL19=$OS19,NOT(OR(RF19=2,RG19=2))),2,IF(AND(OL19=$OT19,NOT(OR(RF19=3,RG19=3))),3))))</f>
        <v>99</v>
      </c>
      <c r="RI19" s="244">
        <f t="shared" ref="RI19:RI48" ca="1" si="41">IF(OR(OM19=$A$2,NOT(OR(OM19=$OR19,OM19=$OS19,OM19=$OT19))),99,IF(AND(OM19=$OR19,NOT(OR(RF19=1,RG19=1,RH19=1))),1,IF(AND(OM19=$OS19,NOT(OR(RF19=2,RG19=2,RH19=2))),2,IF(AND(OM19=$OT19,NOT(OR(RF19=3,RG19=3,RH19=3))),3))))</f>
        <v>99</v>
      </c>
      <c r="RJ19" s="244">
        <f t="shared" ref="RJ19:RJ48" ca="1" si="42">IF(OR(ON19=$A$2,NOT(OR(ON19=$OR19,ON19=$OS19,ON19=$OT19))),99,IF(AND(ON19=$OR19,NOT(OR(RF19=1,RG19=1,RH19=1,RI19=1))),1,IF(AND(ON19=$OS19,NOT(OR(RF19=2,RG19=2,RH19=2,RI19=2))),2,IF(AND(ON19=$OT19,NOT(OR(RF19=3,RG19=3,RH19=3,RI19=3))),3))))</f>
        <v>99</v>
      </c>
      <c r="RK19" s="244">
        <f ca="1">IF(OR(RF19=99,RF19=FALSE),99,IF(RF19=1,$OR19,IF(RF19=2,$OS19,$OT19)))</f>
        <v>99</v>
      </c>
      <c r="RL19" s="244">
        <f ca="1">IF(OR(RG19=99,RG19=FALSE),99,IF(RG19=1,$OR19,IF(RG19=2,$OS19,$OT19)))</f>
        <v>99</v>
      </c>
      <c r="RM19" s="244">
        <f ca="1">IF(OR(RH19=99,RH19=FALSE),99,IF(RH19=1,$OR19,IF(RH19=2,$OS19,$OT19)))</f>
        <v>99</v>
      </c>
      <c r="RN19" s="244">
        <f ca="1">IF(OR(RI19=99,RI19=FALSE),99,IF(RI19=1,$OR19,IF(RI19=2,$OS19,$OT19)))</f>
        <v>99</v>
      </c>
      <c r="RO19" s="244">
        <f ca="1">IF(OR(RJ19=99,RJ19=FALSE),99,IF(RJ19=1,$OR19,IF(RJ19=2,$OS19,$OT19)))</f>
        <v>99</v>
      </c>
      <c r="RP19" s="202" t="str">
        <f t="shared" ref="RP19:RP48" ca="1" si="43">IF(NOT(ISNUMBER(OU19)),OU19,CONCATENATE(TEXT(RK19,"##.0"),", ",TEXT(RL19,"##.0"),", ",TEXT(RM19,"##.0"),", ",TEXT(RN19,"##.0"),", ",TEXT(RO19,"##.0")))</f>
        <v>Zu wenige Noten</v>
      </c>
      <c r="RQ19" s="202" t="str">
        <f ca="1">IFERROR(REPLACE(RP19,FIND(99,RP19,1),6,""),RP19)</f>
        <v>Zu wenige Noten</v>
      </c>
      <c r="RR19" s="202" t="str">
        <f ca="1">IFERROR(REPLACE(RQ19,FIND(99,RQ19,1),6,""),RQ19)</f>
        <v>Zu wenige Noten</v>
      </c>
      <c r="RS19" s="202" t="str">
        <f ca="1">IFERROR(REPLACE(RR19,FIND(99,RR19,1),6,""),RR19)</f>
        <v>Zu wenige Noten</v>
      </c>
      <c r="RT19" s="202" t="str">
        <f ca="1">IFERROR(REPLACE(RS19,FIND(99,RS19,1),6,""),RS19)</f>
        <v>Zu wenige Noten</v>
      </c>
      <c r="RU19" s="202" t="str">
        <f ca="1">IF(RIGHT(RT19,2)=", ",MID(RT19,1,LEN(RT19)-2),RT19)</f>
        <v>Zu wenige Noten</v>
      </c>
      <c r="RV19" s="242" t="str">
        <f ca="1">RU19</f>
        <v>Zu wenige Noten</v>
      </c>
      <c r="RW19" s="31"/>
      <c r="RX19" s="56" t="str">
        <f t="shared" ref="RX19:RX48" ca="1" si="44">OU19</f>
        <v>Zu wenige Noten</v>
      </c>
      <c r="RY19" s="31"/>
      <c r="RZ19" s="31" t="str">
        <f t="shared" ref="RZ19:RZ48" ca="1" si="45">FC19</f>
        <v>Zu wenige Noten</v>
      </c>
      <c r="SA19" s="31" t="str">
        <f t="shared" ref="SA19:SA48" ca="1" si="46">KG19</f>
        <v>Zu wenige Noten</v>
      </c>
      <c r="SB19" s="45" t="str">
        <f t="shared" ref="SB19:SB48" ca="1" si="47">MJ19</f>
        <v>Zu wenige Noten</v>
      </c>
      <c r="SC19" s="31" t="str">
        <f ca="1">RX19</f>
        <v>Zu wenige Noten</v>
      </c>
      <c r="SD19" s="31" t="str">
        <f ca="1">TEXT(RZ19,"#.0")</f>
        <v>Zu wenige Noten</v>
      </c>
      <c r="SE19" s="31" t="str">
        <f t="shared" ref="SE19:SG34" ca="1" si="48">TEXT(SA19,"#.0")</f>
        <v>Zu wenige Noten</v>
      </c>
      <c r="SF19" s="31" t="str">
        <f ca="1">IF(RIGHT(TEXT(SB19,"#.00"),1)="5",TEXT(SB19,"#.00"),IF(RIGHT(TEXT(SB19,"#.00"),2)="00",TEXT(SB19,"#"),TEXT(SB19,"#.0")))</f>
        <v>Zu wenige Noten</v>
      </c>
      <c r="SG19" s="31" t="str">
        <f t="shared" ca="1" si="48"/>
        <v>Zu wenige Noten</v>
      </c>
      <c r="SH19" s="36">
        <f ca="1">ISNUMBER(RZ19)+ISNUMBER(SA19)+ISNUMBER(SB19)+ISNUMBER(SC19)</f>
        <v>0</v>
      </c>
      <c r="SI19" s="36">
        <f ca="1">COUNTIF(RZ19:SC19,$A$3)</f>
        <v>0</v>
      </c>
      <c r="SJ19" s="36">
        <f ca="1">IF((SH19+SI19)&lt;$SJ$13,0,1)</f>
        <v>0</v>
      </c>
      <c r="SK19" s="31">
        <f ca="1">IF(NOT(ISNUMBER(RZ19)),99,RZ19)</f>
        <v>99</v>
      </c>
      <c r="SL19" s="31">
        <f ca="1">IF(NOT(ISNUMBER(SA19)),99,SA19)</f>
        <v>99</v>
      </c>
      <c r="SM19" s="36" t="str">
        <f ca="1">IF(NOT(ISNUMBER(SB19)),"99.0",SB19)</f>
        <v>99.0</v>
      </c>
      <c r="SN19" s="31">
        <f ca="1">IF(NOT(ISNUMBER(SC19)),99,SC19)</f>
        <v>99</v>
      </c>
      <c r="SO19" s="36" t="str">
        <f ca="1">IF(NOT(SJ19),INDEX(StdFehler[StdFehler],4),IF(SI19=$SJ$13,$A$3,CONCATENATE(TEXT(SK19,"#.0"),", ",TEXT(SL19,"#.0"),", ",SM19,", ",TEXT(SN19,"#.0"))))</f>
        <v>Zu wenige Noten</v>
      </c>
      <c r="SP19" s="36" t="str">
        <f t="shared" ref="SP19:SS48" ca="1" si="49">IFERROR(REPLACE(SO19,FIND(99,SO19,1),6,""),SO19)</f>
        <v>Zu wenige Noten</v>
      </c>
      <c r="SQ19" s="36" t="str">
        <f t="shared" ca="1" si="49"/>
        <v>Zu wenige Noten</v>
      </c>
      <c r="SR19" s="36" t="str">
        <f t="shared" ca="1" si="49"/>
        <v>Zu wenige Noten</v>
      </c>
      <c r="SS19" s="36" t="str">
        <f t="shared" ca="1" si="49"/>
        <v>Zu wenige Noten</v>
      </c>
      <c r="ST19" s="36" t="str">
        <f ca="1">IF(RIGHT(SS19,2)=", ",MID(SS19,1,LEN(SS19)-2),SS19)</f>
        <v>Zu wenige Noten</v>
      </c>
      <c r="SU19" s="36"/>
      <c r="SV19" s="214" t="str">
        <f>$A$2</f>
        <v>D</v>
      </c>
      <c r="SW19" s="36"/>
      <c r="SX19" s="214" t="str">
        <f>$A$2</f>
        <v>D</v>
      </c>
      <c r="SY19" s="36"/>
      <c r="SZ19" s="214" t="str">
        <f>$A$2</f>
        <v>D</v>
      </c>
      <c r="TA19" s="36"/>
      <c r="TB19" s="214" t="str">
        <f>$A$2</f>
        <v>D</v>
      </c>
      <c r="TC19" s="31"/>
      <c r="TD19" s="36" t="str">
        <f ca="1">ST19</f>
        <v>Zu wenige Noten</v>
      </c>
      <c r="TE19" s="31"/>
      <c r="TF19" s="193" t="str">
        <f ca="1">IF(NOT(SJ19),INDEX(StdFehler[StdFehler],4),IF(SI19=$TF$4,$A$3,ROUND(AVERAGE(RZ19:SC19)/$TF$5,0)*$TF$5))</f>
        <v>Zu wenige Noten</v>
      </c>
      <c r="TG19" s="32"/>
      <c r="TH19" s="594" t="str">
        <f>IF(OR($TH$18=Stammdaten!$AX$20,$TH$18=""),Stammdaten!$AX$20,$TH$18)</f>
        <v>Disziplin</v>
      </c>
      <c r="TI19" s="33"/>
      <c r="TJ19" s="33" t="str">
        <f>IF(OR(Geschlecht[[#This Row],[Geschlecht (Skala)]]="",TH19="",TH19=Stammdaten!$AX$20),"",REPLACE(INDEX(StdDisziplinen[TabÜberschriftResultat],TH$3),FIND("XX",INDEX(StdDisziplinen[TabÜberschriftResultat],TH$3),1),2,Geschlecht[[#This Row],[Geschlecht (Skala)]]))</f>
        <v/>
      </c>
      <c r="TK19" s="596"/>
      <c r="TM19" s="37"/>
      <c r="TN19" s="40"/>
      <c r="TO19" s="587">
        <f>IF(TO$16,IF(TP$16=0.5,MROUND(SchwimmenResultat[[#This Row],[Resultat]],TP$16),ROUND(SchwimmenResultat[[#This Row],[Resultat]],TP$16)),ROUNDDOWN(SchwimmenResultat[[#This Row],[Resultat]],TP$16))</f>
        <v>0</v>
      </c>
      <c r="TP19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19" s="192" t="str">
        <f ca="1">IF(TP19="","",IF(OR(SchwimmenResultat[[#This Row],[Resultat]]=Stammdaten!$AX$22,SchwimmenResultat[[#This Row],[Resultat]]=Stammdaten!$AX$19),Stammdaten!$AX$19,IF(ISNA(INDEX(INDIRECT(TP19),MATCH(SchwimmenGerundet[[#This Row],[Rundung]],INDIRECT(TP19),TP$18))),IF(TP$18=-1,LARGE(INDIRECT(TP19),1),SMALL(INDIRECT(TP19),1)),INDEX(INDIRECT(TP19),MATCH(SchwimmenGerundet[[#This Row],[Rundung]],INDIRECT(TP19),TP$18)))))</f>
        <v/>
      </c>
      <c r="TS19" s="33" t="str">
        <f>IF(OR(TP19="",SchwimmenResultat[[#This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T19" s="36" t="str">
        <f ca="1">IF(OR(TS19="",SchwimmenSkalawert[[#This Row],[Skala-Wert]]=Stammdaten!$AX$19),"",INDEX(INDIRECT(TS19),MATCH(SchwimmenSkalawert[[#This Row],[Skala-Wert]],INDIRECT(TP19),0)))</f>
        <v/>
      </c>
      <c r="TU19" s="36"/>
      <c r="TV19" s="190" t="str">
        <f>IF(ZwölfMinLaufHalleResultat[[#This Row],[Resultat]]=0,"",ZwölfMinLaufHalleResultat[[#This Row],[Resultat]])</f>
        <v/>
      </c>
      <c r="TW19" s="190"/>
      <c r="TX19" s="31" t="str">
        <f ca="1">ZwölfMinLaufHalleSkalawert[[#This Row],[Skala-Wert]]</f>
        <v/>
      </c>
      <c r="TZ19" s="31" t="str">
        <f ca="1">ZwölfMinLaufHalleNote[[#This Row],[Note]]</f>
        <v/>
      </c>
      <c r="UA19" s="31"/>
      <c r="UB19" s="190" t="str">
        <f>IF(ZwölfMinLaufimFreienResultat[[#This Row],[Resultat]]=0,"",ZwölfMinLaufimFreienResultat[[#This Row],[Resultat]])</f>
        <v/>
      </c>
      <c r="UC19" s="190"/>
      <c r="UD19" s="192" t="str">
        <f ca="1">ZwölfMinLaufimFreienSkalawert[[#This Row],[Skala-Wert]]</f>
        <v/>
      </c>
      <c r="UF19" s="31" t="str">
        <f ca="1">ZwölfMinLaufimFreienNote[[#This Row],[Note]]</f>
        <v/>
      </c>
      <c r="UG19" s="31"/>
      <c r="UH19" s="597"/>
      <c r="UI19" s="190"/>
      <c r="UJ19" s="587">
        <f>IF(UJ$16,IF(UK$16=0.5,MROUND(BeweglichkeitResultat[[#This Row],[Resultat]],UK$16),ROUND(BeweglichkeitResultat[[#This Row],[Resultat]],UK$16)),ROUNDDOWN(BeweglichkeitResultat[[#This Row],[Resultat]],UK$16))</f>
        <v>0</v>
      </c>
      <c r="UK19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19" s="192" t="str">
        <f ca="1">IF(UK19="","",IF(OR(BeweglichkeitResultat[[#This Row],[Resultat]]=Stammdaten!$AX$22,BeweglichkeitResultat[[#This Row],[Resultat]]=Stammdaten!$AX$19),Stammdaten!$AX$19,IF(ISNA(INDEX(INDIRECT(UK19),MATCH(BeweglichkeitGerundet[[#This Row],[Rundung]],INDIRECT(UK19),UK$18))),IF(UK$18=-1,LARGE(INDIRECT(UK19),1),SMALL(INDIRECT(UK19),1)),INDEX(INDIRECT(UK19),MATCH(BeweglichkeitGerundet[[#This Row],[Rundung]],INDIRECT(UK19),UK$18)))))</f>
        <v/>
      </c>
      <c r="UN19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19" s="36" t="str">
        <f ca="1">IF(OR(UK19="",BeweglichkeitSkalawert[[#This Row],[Skala-Wert]]=Stammdaten!$AX$19),"",INDEX(INDIRECT(UN19),MATCH(BeweglichkeitSkalawert[[#This Row],[Skala-Wert]],INDIRECT(UK19),0)))</f>
        <v/>
      </c>
      <c r="UP19" s="31"/>
      <c r="UQ19" s="597"/>
      <c r="UR19" s="190"/>
      <c r="US19" s="587">
        <f>IF(US$16,IF(UT$16=0.5,MROUND(RumpfkraftResultat[[#This Row],[Resultat]],UT$16),ROUND(RumpfkraftResultat[[#This Row],[Resultat]],UT$16)),ROUNDDOWN(RumpfkraftResultat[[#This Row],[Resultat]],UT$16))</f>
        <v>0</v>
      </c>
      <c r="UT19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19" s="192" t="str">
        <f ca="1">IF(UT19="","",IF(OR(RumpfkraftResultat[[#This Row],[Resultat]]=Stammdaten!$AX$22,RumpfkraftResultat[[#This Row],[Resultat]]=Stammdaten!$AX$19),Stammdaten!$AX$19,IF(ISNA(INDEX(INDIRECT(UT19),MATCH(RumpfkraftGerundet[[#This Row],[Rundung]],INDIRECT(UT19),UT$18))),IF(UT$18=-1,LARGE(INDIRECT(UT19),1),SMALL(INDIRECT(UT19),1)),INDEX(INDIRECT(UT19),MATCH(RumpfkraftGerundet[[#This Row],[Rundung]],INDIRECT(UT19),UT$18)))))</f>
        <v/>
      </c>
      <c r="UW19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19" s="36" t="str">
        <f ca="1">IF(OR(UT19="",RumpfkraftSkalawert[[#This Row],[Skala-Wert]]=Stammdaten!$AX$19),"",INDEX(INDIRECT(UW19),MATCH(RumpfkraftSkalawert[[#This Row],[Skala-Wert]],INDIRECT(UT19),0)))</f>
        <v/>
      </c>
      <c r="UY19" s="31"/>
      <c r="UZ19" s="190" t="str">
        <f>IF(SechzigmLaufResultat[[#This Row],[Resultat]]=0,"",SechzigmLaufResultat[[#This Row],[Resultat]])</f>
        <v/>
      </c>
      <c r="VA19" s="190"/>
      <c r="VB19" s="45" t="str">
        <f ca="1">SechzigmLaufSkalawert[[#This Row],[Skala-Wert]]</f>
        <v/>
      </c>
      <c r="VD19" s="31" t="str">
        <f ca="1">SechzigmLaufNote[[#This Row],[Note]]</f>
        <v/>
      </c>
      <c r="VE19" s="31"/>
      <c r="VF19" s="190" t="str">
        <f>IF(AchtzigmLaufResultat[[#This Row],[Resultat]]=0,"",AchtzigmLaufResultat[[#This Row],[Resultat]])</f>
        <v/>
      </c>
      <c r="VG19" s="190"/>
      <c r="VH19" s="45" t="str">
        <f ca="1">AchtzigmLaufSkalawert[[#This Row],[Skala-Wert]]</f>
        <v/>
      </c>
      <c r="VJ19" s="31" t="str">
        <f ca="1">AchtzigmLaufNote[[#This Row],[Note]]</f>
        <v/>
      </c>
      <c r="VK19" s="31"/>
      <c r="VL19" s="37"/>
      <c r="VM19" s="190"/>
      <c r="VN19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19" s="191" t="str">
        <f>IF(OR(Geschlecht[[#This Row],[Geschlecht (Skala)]]="",VL$16=""),"",MID(Geschlecht[[#This Row],[Geschlecht (Skala)]],1,1)&amp;MID(VL$16,1,1))</f>
        <v/>
      </c>
      <c r="VP19" s="190" t="str">
        <f>IF(OR(VO19="",KonditionsparcoursResultat[[#This Row],[Resultat]]=""),"",REPLACE(INDEX(StdDisziplinen[TabÜberschriftResultat],VL$3),FIND("X",INDEX(StdDisziplinen[TabÜberschriftResultat],VL$3),1),2,VO19))</f>
        <v/>
      </c>
      <c r="VQ19" s="192" t="str">
        <f ca="1">IF(VP19="","",IF(OR(KonditionsparcoursResultat[[#This Row],[Resultat]]=Stammdaten!$AX$22,KonditionsparcoursResultat[[#This Row],[Resultat]]=Stammdaten!$AX$19),Stammdaten!$AX$19,IF(ISNA(INDEX(INDIRECT(VP19),MATCH(KonditionsparcoursGerundet[[#This Row],[Rundung]],INDIRECT(VP19),VP$18))),IF(VP$18=-1,LARGE(INDIRECT(VP19),1),SMALL(INDIRECT(VP19),1)),INDEX(INDIRECT(VP19),MATCH(KonditionsparcoursGerundet[[#This Row],[Rundung]],INDIRECT(VP19),VP$18)))))</f>
        <v/>
      </c>
      <c r="VS19" s="18" t="str">
        <f ca="1">IF(KonditionsparcoursSkalawert[[#This Row],[Skala-Wert]]="","",REPLACE(INDEX(StdDisziplinen[TabÜberschriftNote],VL$3),FIND("X",INDEX(StdDisziplinen[TabÜberschriftNote],VL$3),1),2,VO19))</f>
        <v/>
      </c>
      <c r="VT19" s="31" t="str">
        <f ca="1">IF(OR(VS19="",KonditionsparcoursSkalawert[[#This Row],[Skala-Wert]]=Stammdaten!$AX$19),"",INDEX(INDIRECT(VS19),MATCH(KonditionsparcoursSkalawert[[#This Row],[Skala-Wert]],INDIRECT(VP19),0)))</f>
        <v/>
      </c>
      <c r="VU19" s="22"/>
    </row>
    <row r="20" spans="1:593" x14ac:dyDescent="0.3">
      <c r="A20" s="30">
        <v>2</v>
      </c>
      <c r="B20" s="589"/>
      <c r="C20" s="589"/>
      <c r="E20" s="591"/>
      <c r="G20" s="37"/>
      <c r="H20" s="190"/>
      <c r="I20" s="154">
        <f>IF(I$16,IF(J$16=0.5,MROUND(SechzigmLaufResultat[[#This Row],[Resultat]],J$16),ROUND(SechzigmLaufResultat[[#This Row],[Resultat]],J$16)),ROUNDDOWN(SechzigmLaufResultat[[#This Row],[Resultat]],J$16))</f>
        <v>0</v>
      </c>
      <c r="J20" s="191" t="str">
        <f>IF(OR(Geschlecht[[#This Row],[Geschlecht (Skala)]]="",G$16=""),"",MID(Geschlecht[[#This Row],[Geschlecht (Skala)]],1,1)&amp;MID(G$16,1,1))</f>
        <v/>
      </c>
      <c r="K20" s="190" t="str">
        <f>IF(OR(J20="",SechzigmLaufResultat[[#This Row],[Resultat]]=""),"",REPLACE(INDEX(StdDisziplinen[TabÜberschriftResultat],G$3),FIND("X",INDEX(StdDisziplinen[TabÜberschriftResultat],G$3),1),2,J20))</f>
        <v/>
      </c>
      <c r="L20" s="45" t="str">
        <f ca="1">IF(K20="","",IF(OR(SechzigmLaufResultat[[#This Row],[Resultat]]=Stammdaten!$AX$22,SechzigmLaufResultat[[#This Row],[Resultat]]=Stammdaten!$AX$19),Stammdaten!$AX$19,IF(ISNA(INDEX(INDIRECT(K20),MATCH(SechzigmLaufGerundet[[#This Row],[Rundung]],INDIRECT(K20),K$18))),IF(K$18=-1,LARGE(INDIRECT(K20),1),SMALL(INDIRECT(K20),1)),INDEX(INDIRECT(K20),MATCH(SechzigmLaufGerundet[[#This Row],[Rundung]],INDIRECT(K20),K$18)))))</f>
        <v/>
      </c>
      <c r="N20" s="18" t="str">
        <f ca="1">IF(SechzigmLaufSkalawert[[#This Row],[Skala-Wert]]="","",REPLACE(INDEX(StdDisziplinen[TabÜberschriftNote],G$3),FIND("X",INDEX(StdDisziplinen[TabÜberschriftNote],G$3),1),2,J20))</f>
        <v/>
      </c>
      <c r="O20" s="31" t="str">
        <f ca="1">IF(OR(N20="",SechzigmLaufSkalawert[[#This Row],[Skala-Wert]]=Stammdaten!$AX$19),"",INDEX(INDIRECT(N20),MATCH(SechzigmLaufSkalawert[[#This Row],[Skala-Wert]],INDIRECT(K20),0)))</f>
        <v/>
      </c>
      <c r="P20" s="31"/>
      <c r="Q20" s="37"/>
      <c r="R20" s="190"/>
      <c r="S20" s="154">
        <f>IF(S$16,IF(T$16=0.5,MROUND(AchtzigmLaufResultat[[#This Row],[Resultat]],T$16),ROUND(AchtzigmLaufResultat[[#This Row],[Resultat]],T$16)),ROUNDDOWN(AchtzigmLaufResultat[[#This Row],[Resultat]],T$16))</f>
        <v>0</v>
      </c>
      <c r="T20" s="191" t="str">
        <f>IF(OR(Geschlecht[[#This Row],[Geschlecht (Skala)]]="",Q$16=""),"",MID(Geschlecht[[#This Row],[Geschlecht (Skala)]],1,1)&amp;MID(Q$16,1,1))</f>
        <v/>
      </c>
      <c r="U20" s="190" t="str">
        <f>IF(OR(T20="",AchtzigmLaufResultat[[#This Row],[Resultat]]=""),"",REPLACE(INDEX(StdDisziplinen[TabÜberschriftResultat],Q$3),FIND("X",INDEX(StdDisziplinen[TabÜberschriftResultat],Q$3),1),2,T20))</f>
        <v/>
      </c>
      <c r="V20" s="45" t="str">
        <f ca="1">IF(U20="","",IF(OR(AchtzigmLaufResultat[[#This Row],[Resultat]]=Stammdaten!$AX$22,AchtzigmLaufResultat[[#This Row],[Resultat]]=Stammdaten!$AX$19),Stammdaten!$AX$19,IF(ISNA(INDEX(INDIRECT(U20),MATCH(AchtzigmLaufGerundet[[#This Row],[Rundung]],INDIRECT(U20),U$18))),IF(U$18=-1,LARGE(INDIRECT(U20),1),SMALL(INDIRECT(U20),1)),INDEX(INDIRECT(U20),MATCH(AchtzigmLaufGerundet[[#This Row],[Rundung]],INDIRECT(U20),U$18)))))</f>
        <v/>
      </c>
      <c r="X20" s="18" t="str">
        <f ca="1">IF(AchtzigmLaufSkalawert[[#This Row],[Skala-Wert]]="","",REPLACE(INDEX(StdDisziplinen[TabÜberschriftNote],Q$3),FIND("X",INDEX(StdDisziplinen[TabÜberschriftNote],Q$3),1),2,T20))</f>
        <v/>
      </c>
      <c r="Y20" s="31" t="str">
        <f ca="1">IF(OR(X20="",AchtzigmLaufSkalawert[[#This Row],[Skala-Wert]]=Stammdaten!$AX$19),"",INDEX(INDIRECT(X20),MATCH(AchtzigmLaufSkalawert[[#This Row],[Skala-Wert]],INDIRECT(U20),0)))</f>
        <v/>
      </c>
      <c r="Z20" s="31"/>
      <c r="AA20" s="37"/>
      <c r="AB20" s="190"/>
      <c r="AC20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0" s="191" t="str">
        <f>IF(OR(Geschlecht[[#This Row],[Geschlecht (Skala)]]="",AA$16=""),"",MID(Geschlecht[[#This Row],[Geschlecht (Skala)]],1,1)&amp;MID(AA$16,1,1))</f>
        <v/>
      </c>
      <c r="AE20" s="190" t="str">
        <f>IF(OR(AD20="",ZwölfMinLaufHalleResultat[[#This Row],[Resultat]]=""),"",REPLACE(INDEX(StdDisziplinen[TabÜberschriftResultat],AA$3),FIND("X",INDEX(StdDisziplinen[TabÜberschriftResultat],AA$3),1),2,AD20))</f>
        <v/>
      </c>
      <c r="AF20" s="31" t="str">
        <f ca="1">IF(AE20="","",IF(OR(ZwölfMinLaufHalleResultat[[#This Row],[Resultat]]=Stammdaten!$AX$22,ZwölfMinLaufHalleResultat[[#This Row],[Resultat]]=Stammdaten!$AX$19),Stammdaten!$AX$19,IF(ISNA(INDEX(INDIRECT(AE20),MATCH(ZwölfMinLaufHalleGerundet[[#This Row],[Rundung]],INDIRECT(AE20),AE$18))),IF(AE$18=-1,LARGE(INDIRECT(AE20),1),SMALL(INDIRECT(AE20),1)),INDEX(INDIRECT(AE20),MATCH(ZwölfMinLaufHalleGerundet[[#This Row],[Rundung]],INDIRECT(AE20),AE$18)))))</f>
        <v/>
      </c>
      <c r="AH20" s="18" t="str">
        <f ca="1">IF(ZwölfMinLaufHalleSkalawert[[#This Row],[Skala-Wert]]="","",REPLACE(INDEX(StdDisziplinen[TabÜberschriftNote],AA$3),FIND("X",INDEX(StdDisziplinen[TabÜberschriftNote],AA$3),1),2,AD20))</f>
        <v/>
      </c>
      <c r="AI20" s="31" t="str">
        <f ca="1">IF(OR(AH20="",ZwölfMinLaufHalleSkalawert[[#This Row],[Skala-Wert]]=Stammdaten!$AX$19),"",INDEX(INDIRECT(AH20),MATCH(ZwölfMinLaufHalleSkalawert[[#This Row],[Skala-Wert]],INDIRECT(AE20),0)))</f>
        <v/>
      </c>
      <c r="AJ20" s="31"/>
      <c r="AK20" s="597"/>
      <c r="AL20" s="190"/>
      <c r="AM20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0" s="191" t="str">
        <f>IF(OR(Geschlecht[[#This Row],[Geschlecht (Skala)]]="",AK$16=""),"",MID(Geschlecht[[#This Row],[Geschlecht (Skala)]],1,1)&amp;MID(AK$16,1,1))</f>
        <v/>
      </c>
      <c r="AO20" s="190" t="str">
        <f>IF(OR(AN20="",ZwölfMinLaufimFreienResultat[[#This Row],[Resultat]]=""),"",REPLACE(INDEX(StdDisziplinen[TabÜberschriftResultat],AK$3),FIND("X",INDEX(StdDisziplinen[TabÜberschriftResultat],AK$3),1),2,AN20))</f>
        <v/>
      </c>
      <c r="AP20" s="192" t="str">
        <f ca="1">IF(AO20="","",IF(OR(ZwölfMinLaufimFreienResultat[[#This Row],[Resultat]]=Stammdaten!$AX$22,ZwölfMinLaufimFreienResultat[[#This Row],[Resultat]]=Stammdaten!$AX$19),Stammdaten!$AX$19,IF(ISNA(INDEX(INDIRECT(AO20),MATCH(ZwölfMinLaufimFreienGerundet[[#This Row],[Rundung]],INDIRECT(AO20),AO$18))),IF(AO$18=-1,LARGE(INDIRECT(AO20),1),SMALL(INDIRECT(AO20),1)),INDEX(INDIRECT(AO20),MATCH(ZwölfMinLaufimFreienGerundet[[#This Row],[Rundung]],INDIRECT(AO20),AO$18)))))</f>
        <v/>
      </c>
      <c r="AR20" s="18" t="str">
        <f ca="1">IF(ZwölfMinLaufimFreienSkalawert[[#This Row],[Skala-Wert]]="","",REPLACE(INDEX(StdDisziplinen[TabÜberschriftNote],AK$3),FIND("X",INDEX(StdDisziplinen[TabÜberschriftNote],AK$3),1),2,AN20))</f>
        <v/>
      </c>
      <c r="AS20" s="31" t="str">
        <f ca="1">IF(OR(AR20="",ZwölfMinLaufimFreienSkalawert[[#This Row],[Skala-Wert]]=Stammdaten!$AX$19),"",INDEX(INDIRECT(AR20),MATCH(ZwölfMinLaufimFreienSkalawert[[#This Row],[Skala-Wert]],INDIRECT(AO20),0)))</f>
        <v/>
      </c>
      <c r="AT20" s="31"/>
      <c r="AU20" s="597"/>
      <c r="AV20" s="190"/>
      <c r="AW20" s="587">
        <f>IF(AW$16,IF(AX$16=0.5,MROUND(HochsprungResultat[[#This Row],[Resultat]],AX$16),ROUND(HochsprungResultat[[#This Row],[Resultat]],AX$16)),ROUNDDOWN(HochsprungResultat[[#This Row],[Resultat]],AX$16))</f>
        <v>0</v>
      </c>
      <c r="AX20" s="191" t="str">
        <f>IF(OR(Geschlecht[[#This Row],[Geschlecht (Skala)]]="",AU$16=""),"",MID(Geschlecht[[#This Row],[Geschlecht (Skala)]],1,1)&amp;MID(AU$16,1,1))</f>
        <v/>
      </c>
      <c r="AY20" s="190" t="str">
        <f>IF(OR(AX20="",HochsprungResultat[[#This Row],[Resultat]]=""),"",REPLACE(INDEX(StdDisziplinen[TabÜberschriftResultat],AU$3),FIND("X",INDEX(StdDisziplinen[TabÜberschriftResultat],AU$3),1),2,AX20))</f>
        <v/>
      </c>
      <c r="AZ20" s="192" t="str">
        <f ca="1">IF(AY20="","",IF(OR(HochsprungResultat[[#This Row],[Resultat]]=Stammdaten!$AX$22,HochsprungResultat[[#This Row],[Resultat]]=Stammdaten!$AX$19),Stammdaten!$AX$19,IF(ISNA(INDEX(INDIRECT(AY20),MATCH(HochsprungGerundet[[#This Row],[Rundung]],INDIRECT(AY20),AY$18))),IF(AY$18=-1,LARGE(INDIRECT(AY20),1),SMALL(INDIRECT(AY20),1)),INDEX(INDIRECT(AY20),MATCH(HochsprungGerundet[[#This Row],[Rundung]],INDIRECT(AY20),AY$18)))))</f>
        <v/>
      </c>
      <c r="BB20" s="18" t="str">
        <f ca="1">IF(HochsprungSkalawert[[#This Row],[Skala-Wert]]="","",REPLACE(INDEX(StdDisziplinen[TabÜberschriftNote],AU$3),FIND("X",INDEX(StdDisziplinen[TabÜberschriftNote],AU$3),1),2,AX20))</f>
        <v/>
      </c>
      <c r="BC20" s="31" t="str">
        <f ca="1">IF(OR(BB20="",HochsprungSkalawert[[#This Row],[Skala-Wert]]=Stammdaten!$AX$19),"",INDEX(INDIRECT(BB20),MATCH(HochsprungSkalawert[[#This Row],[Skala-Wert]],INDIRECT(AY20),0)))</f>
        <v/>
      </c>
      <c r="BD20" s="31"/>
      <c r="BE20" s="597"/>
      <c r="BF20" s="190"/>
      <c r="BG20" s="587">
        <f>IF(BG$16,IF(BH$16=0.5,MROUND(WeitsprungResultat[[#This Row],[Resultat]],BH$16),ROUND(WeitsprungResultat[[#This Row],[Resultat]],BH$16)),ROUNDDOWN(WeitsprungResultat[[#This Row],[Resultat]],BH$16))</f>
        <v>0</v>
      </c>
      <c r="BH20" s="191" t="str">
        <f>IF(OR(Geschlecht[[#This Row],[Geschlecht (Skala)]]="",BE$16=""),"",MID(Geschlecht[[#This Row],[Geschlecht (Skala)]],1,1)&amp;MID(BE$16,1,1))</f>
        <v/>
      </c>
      <c r="BI20" s="190" t="str">
        <f>IF(OR(BH20="",WeitsprungResultat[[#This Row],[Resultat]]=""),"",REPLACE(INDEX(StdDisziplinen[TabÜberschriftResultat],BE$3),FIND("X",INDEX(StdDisziplinen[TabÜberschriftResultat],BE$3),1),2,BH20))</f>
        <v/>
      </c>
      <c r="BJ20" s="192" t="str">
        <f ca="1">IF(BI20="","",IF(OR(WeitsprungResultat[[#This Row],[Resultat]]=Stammdaten!$AX$22,WeitsprungResultat[[#This Row],[Resultat]]=Stammdaten!$AX$19),Stammdaten!$AX$19,IF(ISNA(INDEX(INDIRECT(BI20),MATCH(WeitsprungGerundet[[#This Row],[Rundung]],INDIRECT(BI20),BI$18))),IF(BI$18=-1,LARGE(INDIRECT(BI20),1),SMALL(INDIRECT(BI20),1)),INDEX(INDIRECT(BI20),MATCH(WeitsprungGerundet[[#This Row],[Rundung]],INDIRECT(BI20),BI$18)))))</f>
        <v/>
      </c>
      <c r="BL20" s="18" t="str">
        <f ca="1">IF(WeitsprungSkalawert[[#This Row],[Skala-Wert]]="","",REPLACE(INDEX(StdDisziplinen[TabÜberschriftNote],BE$3),FIND("X",INDEX(StdDisziplinen[TabÜberschriftNote],BE$3),1),2,BH20))</f>
        <v/>
      </c>
      <c r="BM20" s="31" t="str">
        <f ca="1">IF(OR(BL20="",WeitsprungSkalawert[[#This Row],[Skala-Wert]]=Stammdaten!$AX$19),"",INDEX(INDIRECT(BL20),MATCH(WeitsprungSkalawert[[#This Row],[Skala-Wert]],INDIRECT(BI20),0)))</f>
        <v/>
      </c>
      <c r="BN20" s="31"/>
      <c r="BO20" s="37"/>
      <c r="BP20" s="190"/>
      <c r="BQ20" s="154">
        <f>IF(BQ$16,IF(BR$16=0.5,MROUND(BallwurfResultat[[#This Row],[Resultat]],BR$16),ROUND(BallwurfResultat[[#This Row],[Resultat]],BR$16)),ROUNDDOWN(BallwurfResultat[[#This Row],[Resultat]],BR$16))</f>
        <v>0</v>
      </c>
      <c r="BR20" s="191" t="str">
        <f>IF(OR(Geschlecht[[#This Row],[Geschlecht (Skala)]]="",BO$16=""),"",MID(Geschlecht[[#This Row],[Geschlecht (Skala)]],1,1)&amp;MID(BO$16,1,1))</f>
        <v/>
      </c>
      <c r="BS20" s="190" t="str">
        <f>IF(OR(BR20="",BallwurfResultat[[#This Row],[Resultat]]=""),"",REPLACE(INDEX(StdDisziplinen[TabÜberschriftResultat],BO$3),FIND("X",INDEX(StdDisziplinen[TabÜberschriftResultat],BO$3),1),2,BR20))</f>
        <v/>
      </c>
      <c r="BT20" s="45" t="str">
        <f ca="1">IF(BS20="","",IF(OR(BallwurfResultat[[#This Row],[Resultat]]=Stammdaten!$AX$22,BallwurfResultat[[#This Row],[Resultat]]=Stammdaten!$AX$19),Stammdaten!$AX$19,IF(ISNA(INDEX(INDIRECT(BS20),MATCH(BallwurfGerundet[[#This Row],[Rundung]],INDIRECT(BS20),BS$18))),IF(BS$18=-1,LARGE(INDIRECT(BS20),1),SMALL(INDIRECT(BS20),1)),INDEX(INDIRECT(BS20),MATCH(BallwurfGerundet[[#This Row],[Rundung]],INDIRECT(BS20),BS$18)))))</f>
        <v/>
      </c>
      <c r="BV20" s="18" t="str">
        <f ca="1">IF(BallwurfSkalawert[[#This Row],[Skala-Wert]]="","",REPLACE(INDEX(StdDisziplinen[TabÜberschriftNote],BO$3),FIND("X",INDEX(StdDisziplinen[TabÜberschriftNote],BO$3),1),2,BR20))</f>
        <v/>
      </c>
      <c r="BW20" s="31" t="str">
        <f ca="1">IF(OR(BV20="",BallwurfSkalawert[[#This Row],[Skala-Wert]]=Stammdaten!$AX$19),"",INDEX(INDIRECT(BV20),MATCH(BallwurfSkalawert[[#This Row],[Skala-Wert]],INDIRECT(BS20),0)))</f>
        <v/>
      </c>
      <c r="BX20" s="31"/>
      <c r="BY20" s="598"/>
      <c r="BZ20" s="190"/>
      <c r="CA20" s="154">
        <f>IF(CA$16,IF(CB$16=0.5,MROUND(KugelstossenResultat[[#This Row],[Resultat]],CB$16),ROUND(KugelstossenResultat[[#This Row],[Resultat]],CB$16)),ROUNDDOWN(KugelstossenResultat[[#This Row],[Resultat]],CB$16))</f>
        <v>0</v>
      </c>
      <c r="CB20" s="191" t="str">
        <f>IF(OR(Geschlecht[[#This Row],[Geschlecht (Skala)]]="",BY$16=""),"",MID(Geschlecht[[#This Row],[Geschlecht (Skala)]],1,1)&amp;MID(BY$16,1,1))</f>
        <v/>
      </c>
      <c r="CC20" s="190" t="str">
        <f>IF(OR(CB20="",KugelstossenResultat[[#This Row],[Resultat]]=""),"",REPLACE(INDEX(StdDisziplinen[TabÜberschriftResultat],BY$3),FIND("X",INDEX(StdDisziplinen[TabÜberschriftResultat],BY$3),1),2,CB20))</f>
        <v/>
      </c>
      <c r="CD20" s="45" t="str">
        <f ca="1">IF(CC20="","",IF(OR(KugelstossenResultat[[#This Row],[Resultat]]=Stammdaten!$AX$22,KugelstossenResultat[[#This Row],[Resultat]]=Stammdaten!$AX$19),Stammdaten!$AX$19,IF(ISNA(INDEX(INDIRECT(CC20),MATCH(KugelstossenGerundet[[#This Row],[Rundung]],INDIRECT(CC20),CC$18))),IF(CC$18=-1,LARGE(INDIRECT(CC20),1),SMALL(INDIRECT(CC20),1)),INDEX(INDIRECT(CC20),MATCH(KugelstossenGerundet[[#This Row],[Rundung]],INDIRECT(CC20),CC$18)))))</f>
        <v/>
      </c>
      <c r="CF20" s="18" t="str">
        <f ca="1">IF(KugelstossenSkalawert[[#This Row],[Skala-Wert]]="","",REPLACE(INDEX(StdDisziplinen[TabÜberschriftNote],BY$3),FIND("X",INDEX(StdDisziplinen[TabÜberschriftNote],BY$3),1),2,CB20))</f>
        <v/>
      </c>
      <c r="CG20" s="31" t="str">
        <f ca="1">IF(OR(CF20="",KugelstossenSkalawert[[#This Row],[Skala-Wert]]=Stammdaten!$AX$19),"",INDEX(INDIRECT(CF20),MATCH(KugelstossenSkalawert[[#This Row],[Skala-Wert]],INDIRECT(CC20),0)))</f>
        <v/>
      </c>
      <c r="CH20" s="31"/>
      <c r="CI20" s="37"/>
      <c r="CJ20" s="190"/>
      <c r="CK20" s="154">
        <f>IF(CK$16,IF(CL$16=0.5,MROUND(SpeerwurfResultat[[#This Row],[Resultat]],CL$16),ROUND(SpeerwurfResultat[[#This Row],[Resultat]],CL$16)),ROUNDDOWN(SpeerwurfResultat[[#This Row],[Resultat]],CL$16))</f>
        <v>0</v>
      </c>
      <c r="CL20" s="191" t="str">
        <f>IF(OR(Geschlecht[[#This Row],[Geschlecht (Skala)]]="",CI$16=""),"",MID(Geschlecht[[#This Row],[Geschlecht (Skala)]],1,1)&amp;MID(CI$16,1,1))</f>
        <v/>
      </c>
      <c r="CM20" s="190" t="str">
        <f>IF(OR(CL20="",SpeerwurfResultat[[#This Row],[Resultat]]=""),"",REPLACE(INDEX(StdDisziplinen[TabÜberschriftResultat],CI$3),FIND("X",INDEX(StdDisziplinen[TabÜberschriftResultat],CI$3),1),2,CL20))</f>
        <v/>
      </c>
      <c r="CN20" s="45" t="str">
        <f ca="1">IF(CM20="","",IF(OR(SpeerwurfResultat[[#This Row],[Resultat]]=Stammdaten!$AX$22,SpeerwurfResultat[[#This Row],[Resultat]]=Stammdaten!$AX$19),Stammdaten!$AX$19,IF(ISNA(INDEX(INDIRECT(CM20),MATCH(SpeerwurfGerundet[[#This Row],[Rundung]],INDIRECT(CM20),CM$18))),IF(CM$18=-1,LARGE(INDIRECT(CM20),1),SMALL(INDIRECT(CM20),1)),INDEX(INDIRECT(CM20),MATCH(SpeerwurfGerundet[[#This Row],[Rundung]],INDIRECT(CM20),CM$18)))))</f>
        <v/>
      </c>
      <c r="CP20" s="18" t="str">
        <f ca="1">IF(SpeerwurfSkalawert[[#This Row],[Skala-Wert]]="","",REPLACE(INDEX(StdDisziplinen[TabÜberschriftNote],CI$3),FIND("X",INDEX(StdDisziplinen[TabÜberschriftNote],CI$3),1),2,CL20))</f>
        <v/>
      </c>
      <c r="CQ20" s="31" t="str">
        <f ca="1">IF(OR(CP20="",SpeerwurfSkalawert[[#This Row],[Skala-Wert]]=Stammdaten!$AX$19),"",INDEX(INDIRECT(CP20),MATCH(SpeerwurfSkalawert[[#This Row],[Skala-Wert]],INDIRECT(CM20),0)))</f>
        <v/>
      </c>
      <c r="CR20" s="31"/>
      <c r="CS20" s="31" t="str">
        <f t="shared" ref="CS20:CT48" ca="1" si="50">INDEX(INDIRECT(CS$4),ROW()-CS$5)</f>
        <v/>
      </c>
      <c r="CT20" s="31" t="str">
        <f t="shared" ca="1" si="50"/>
        <v/>
      </c>
      <c r="CU20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Row],[Skala-Wert]])&gt;0,MAX(CS20:CT20),99))</f>
        <v>Keine Note</v>
      </c>
      <c r="CV20" s="202" t="str">
        <f t="shared" ref="CV20:CV48" ca="1" si="51">IF(CU20=CS20,CS$3,IF(CU20=CT20,CT$3,IF(CU20=99,$A$2,"")))</f>
        <v/>
      </c>
      <c r="CW20" s="202" t="str">
        <f ca="1">IF(CV20=$A$2,CS$10&amp;Stammdaten!$AX$25,IF(CU20=INDEX(StdFehler[],3),CS$10&amp;Stammdaten!$AX$27,INDEX(INDIRECT($B$4),MATCH(CV20,INDIRECT($B$5),0))))</f>
        <v>Sprintdisziplinen nicht durchgeführt</v>
      </c>
      <c r="CX20" s="202" t="str">
        <f ca="1">IFERROR(INDEX(INDIRECT(CX$12),MATCH(CV20,StdDisziplinen[ID],0)),"")</f>
        <v/>
      </c>
      <c r="CY20" s="202" t="e">
        <f t="shared" ref="CY20:CY48" ca="1" si="52">INDEX(INDIRECT($CY$1),MATCH(CW20,INDIRECT($B$4),0))</f>
        <v>#N/A</v>
      </c>
      <c r="CZ20" s="202" t="e">
        <f t="shared" ref="CZ20:CZ48" ca="1" si="53">CY20&amp;$CZ$12&amp;$CZ$13</f>
        <v>#N/A</v>
      </c>
      <c r="DA20" s="98" t="str">
        <f ca="1">IFERROR(TEXT(INDIRECT(CZ20),"#.00"),"")</f>
        <v/>
      </c>
      <c r="DB20" s="202" t="e">
        <f t="shared" ref="DB20:DB48" ca="1" si="54">CY20&amp;$DB$12&amp;$DB$13</f>
        <v>#N/A</v>
      </c>
      <c r="DC20" s="202" t="str">
        <f t="shared" ref="DC20:DC48" ca="1" si="55">IFERROR(TEXT(INDIRECT(DB20),"#.00"),"")</f>
        <v/>
      </c>
      <c r="DD20" s="31" t="str">
        <f t="shared" ref="DD20:DE48" ca="1" si="56">INDEX(INDIRECT(DD$4),ROW()-DD$5)</f>
        <v/>
      </c>
      <c r="DE20" s="31" t="str">
        <f t="shared" ca="1" si="56"/>
        <v/>
      </c>
      <c r="DF20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Row],[Skala-Wert]])&gt;0,MAX(DD20:DE20),99))</f>
        <v>Keine Note</v>
      </c>
      <c r="DG20" s="202" t="str">
        <f t="shared" ref="DG20:DG48" ca="1" si="57">IF(DF20=DD20,DD$3,IF(DF20=DE20,DE$3,IF(DF20=99,$A$2,"")))</f>
        <v/>
      </c>
      <c r="DH20" s="202" t="str">
        <f ca="1">IF(DG20=$A$2,DD$10&amp;Stammdaten!$AX$25,IF(DF20=INDEX(StdFehler[],3),DD$10&amp;Stammdaten!$AX$27,INDEX(INDIRECT($B$4),MATCH(DG20,INDIRECT($B$5),0))))</f>
        <v>Ausdauerdisziplinen nicht durchgeführt</v>
      </c>
      <c r="DI20" s="202" t="str">
        <f ca="1">IFERROR(INDEX(INDIRECT(DI$12),MATCH(DG20,StdDisziplinen[ID],0)),"")</f>
        <v/>
      </c>
      <c r="DJ20" s="202" t="e">
        <f t="shared" ref="DJ20:DJ48" ca="1" si="58">INDEX(INDIRECT($CY$1),MATCH(DH20,INDIRECT($B$4),0))</f>
        <v>#N/A</v>
      </c>
      <c r="DK20" s="202" t="e">
        <f t="shared" ref="DK20:DK48" ca="1" si="59">DJ20&amp;$CZ$12&amp;$CZ$13</f>
        <v>#N/A</v>
      </c>
      <c r="DL20" s="96" t="str">
        <f t="shared" ref="DL20:DL48" ca="1" si="60">IFERROR(IF(INDEX(INDIRECT($DL$1),$DG20)=0.5,TEXT(INDIRECT(DK20),"#.0"),IF(INDEX(INDIRECT($DL$1),$DG20)=0,TEXT(INDIRECT(DK20),"#"),"")),"")</f>
        <v/>
      </c>
      <c r="DM20" s="202" t="e">
        <f t="shared" ref="DM20:DM48" ca="1" si="61">DJ20&amp;$DM$12&amp;$DM$13</f>
        <v>#N/A</v>
      </c>
      <c r="DN20" s="202" t="str">
        <f t="shared" ref="DN20:DN48" ca="1" si="62">IFERROR(IF(DG20=3,TEXT(INDIRECT(DM20),"#.0"),IF(DG20=4,TEXT(INDIRECT(DM20),"#"),"")),"")</f>
        <v/>
      </c>
      <c r="DO20" s="31" t="str">
        <f t="shared" ref="DO20:DP48" ca="1" si="63">INDEX(INDIRECT(DO$4),ROW()-DO$5)</f>
        <v/>
      </c>
      <c r="DP20" s="31" t="str">
        <f t="shared" ca="1" si="63"/>
        <v/>
      </c>
      <c r="DQ20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Row],[Skala-Wert]])&gt;0,MAX(DO20:DP20),99))</f>
        <v>Keine Note</v>
      </c>
      <c r="DR20" s="202" t="str">
        <f t="shared" ref="DR20:DR48" ca="1" si="64">IF(DQ20=DO20,DO$3,IF(DQ20=DP20,DP$3,IF(DQ20=99,$A$2,"")))</f>
        <v/>
      </c>
      <c r="DS20" s="202" t="str">
        <f ca="1">IF(DR20=$A$2,DO$10&amp;Stammdaten!$AX$25,IF(DQ20=INDEX(StdFehler[],3),DO$10&amp;Stammdaten!$AX$27,INDEX(INDIRECT($B$4),MATCH(DR20,INDIRECT($B$5),0))))</f>
        <v>Sprungdisziplinen nicht durchgeführt</v>
      </c>
      <c r="DT20" s="202" t="str">
        <f ca="1">IFERROR(INDEX(INDIRECT(DT$12),MATCH(DR20,StdDisziplinen[ID],0)),"")</f>
        <v/>
      </c>
      <c r="DU20" s="202" t="e">
        <f t="shared" ref="DU20:DU48" ca="1" si="65">INDEX(INDIRECT($CY$1),MATCH(DS20,INDIRECT($B$4),0))</f>
        <v>#N/A</v>
      </c>
      <c r="DV20" s="202" t="e">
        <f t="shared" ref="DV20:DV48" ca="1" si="66">DU20&amp;$CZ$12&amp;$CZ$13</f>
        <v>#N/A</v>
      </c>
      <c r="DW20" s="202" t="str">
        <f t="shared" ref="DW20:DW48" ca="1" si="67">IFERROR(INDIRECT(DV20),"")</f>
        <v/>
      </c>
      <c r="DX20" s="202" t="e">
        <f t="shared" ref="DX20:DX48" ca="1" si="68">DU20&amp;$DX$12&amp;$DX$13</f>
        <v>#N/A</v>
      </c>
      <c r="DY20" s="202" t="str">
        <f t="shared" ref="DY20:DY48" ca="1" si="69">IFERROR(TEXT(INDIRECT(DX20),"#"),"")</f>
        <v/>
      </c>
      <c r="DZ20" s="31" t="str">
        <f ca="1">IF(BallwurfSkalawert[[#This Row],[Skala-Wert]]=$A$3,$A$2,IF(ISNUMBER(BallwurfSkalawert[[#This Row],[Skala-Wert]]),BallwurfNote[[#This Row],[Note]],"!"))</f>
        <v>!</v>
      </c>
      <c r="EA20" s="31" t="str">
        <f ca="1">IF(KugelstossenSkalawert[[#This Row],[Skala-Wert]]=$A$3,$A$2,IF(ISNUMBER(KugelstossenSkalawert[[#This Row],[Skala-Wert]]),KugelstossenNote[[#This Row],[Note]],"!"))</f>
        <v>!</v>
      </c>
      <c r="EB20" s="31" t="str">
        <f ca="1">IF(SpeerwurfSkalawert[[#This Row],[Skala-Wert]]=$A$3,$A$2,IF(ISNUMBER(SpeerwurfSkalawert[[#This Row],[Skala-Wert]]),SpeerwurfNote[[#This Row],[Note]],"!"))</f>
        <v>!</v>
      </c>
      <c r="EC20" s="95" t="str">
        <f ca="1">IF(ED20&gt;0,MAX(DZ20:EB20),IF(EE20&gt;0,99,INDEX(StdFehler[StdFehler],3)))</f>
        <v>Keine Note</v>
      </c>
      <c r="ED20" s="202">
        <f t="shared" ref="ED20:ED48" ca="1" si="70">ISNUMBER(DZ20)+ISNUMBER(EA20)+ISNUMBER(EB20)</f>
        <v>0</v>
      </c>
      <c r="EE20" s="202">
        <f t="shared" ref="EE20:EE48" ca="1" si="71">COUNTIF(DZ20:EB20,$A$2)</f>
        <v>0</v>
      </c>
      <c r="EF20" s="202" t="str">
        <f t="shared" ref="EF20:EF48" ca="1" si="72">IF(EC20=DZ20,DZ$3,IF(EC20=EA20,EA$3,IF(EC20=EB20,EB$3,IF(EC20=99,$A$2,""))))</f>
        <v/>
      </c>
      <c r="EG20" s="202" t="str">
        <f ca="1">IF(EF20=$A$2,DZ$10&amp;Stammdaten!$AX$25,IF(EC20=INDEX(StdFehler[],3),DZ$10&amp;Stammdaten!$AX$27,INDEX(INDIRECT($B$4),MATCH(EF20,INDIRECT($B$5),0))))</f>
        <v>Wurfdisziplinen nicht durchgeführt</v>
      </c>
      <c r="EH20" s="202" t="str">
        <f ca="1">IFERROR(INDEX(INDIRECT(EH$12),MATCH(EF20,StdDisziplinen[ID],0)),"")</f>
        <v/>
      </c>
      <c r="EI20" s="202" t="e">
        <f t="shared" ref="EI20:EI48" ca="1" si="73">INDEX(INDIRECT($CY$1),MATCH(EG20,INDIRECT($B$4),0))</f>
        <v>#N/A</v>
      </c>
      <c r="EJ20" s="202" t="e">
        <f t="shared" ref="EJ20:EJ48" ca="1" si="74">EI20&amp;$CZ$12&amp;$CZ$13</f>
        <v>#N/A</v>
      </c>
      <c r="EK20" s="98" t="str">
        <f t="shared" ref="EK20:EK48" ca="1" si="75">IFERROR(TEXT(INDIRECT(EJ20),"#.00"),"")</f>
        <v/>
      </c>
      <c r="EL20" s="202" t="e">
        <f t="shared" ref="EL20:EL48" ca="1" si="76">EI20&amp;$EL$12&amp;$EL$13</f>
        <v>#N/A</v>
      </c>
      <c r="EM20" s="202" t="str">
        <f t="shared" ref="EM20:EM48" ca="1" si="77">IFERROR(TEXT(INDIRECT(EL20),"#.00"),"")</f>
        <v/>
      </c>
      <c r="EN20" s="200">
        <f t="shared" ca="1" si="1"/>
        <v>0</v>
      </c>
      <c r="EO20" s="202">
        <f t="shared" ref="EO20:EO48" ca="1" si="78">COUNTIF(EP20:ES20,99)</f>
        <v>0</v>
      </c>
      <c r="EP20" s="96">
        <f t="shared" ca="1" si="2"/>
        <v>0</v>
      </c>
      <c r="EQ20" s="96">
        <f t="shared" ca="1" si="3"/>
        <v>0</v>
      </c>
      <c r="ER20" s="96">
        <f t="shared" ca="1" si="4"/>
        <v>0</v>
      </c>
      <c r="ES20" s="96">
        <f t="shared" ca="1" si="5"/>
        <v>0</v>
      </c>
      <c r="ET20" s="202">
        <f t="shared" ref="ET20:ET48" ca="1" si="79">SUM(EP20:ES20)-EO20*99</f>
        <v>0</v>
      </c>
      <c r="EU20" s="202" t="str">
        <f ca="1">IF($EO20=$FA$4,Stammdaten!$AX$19,IF(COUNTIF($EP20:$ES20,0)&lt;&gt;0,INDEX(StdFehler[StdFehler],4),ROUND(SUM($ET20/$EN20)/$FC$4,0)*$FC$4))</f>
        <v>Zu wenige Noten</v>
      </c>
      <c r="EV20" s="202" t="str">
        <f t="shared" ca="1" si="6"/>
        <v>Zu wenige Noten</v>
      </c>
      <c r="EW20" s="202" t="str">
        <f t="shared" ref="EW20:EY48" ca="1" si="80">IFERROR(REPLACE(EV20,FIND("99.0",EV20,1),6,""),EV20)</f>
        <v>Zu wenige Noten</v>
      </c>
      <c r="EX20" s="202" t="str">
        <f t="shared" ca="1" si="80"/>
        <v>Zu wenige Noten</v>
      </c>
      <c r="EY20" s="202" t="str">
        <f t="shared" ca="1" si="80"/>
        <v>Zu wenige Noten</v>
      </c>
      <c r="EZ20" s="202" t="str">
        <f t="shared" ref="EZ20:EZ48" ca="1" si="81">IF(RIGHT(EY20,2)=", ",MID(EY20,1,LEN(EY20)-2),EY20)</f>
        <v>Zu wenige Noten</v>
      </c>
      <c r="FA20" s="202" t="str">
        <f t="shared" ref="FA20:FA48" ca="1" si="82">EZ20</f>
        <v>Zu wenige Noten</v>
      </c>
      <c r="FB20" s="31"/>
      <c r="FC20" s="56" t="str">
        <f t="shared" ref="FC20:FC48" ca="1" si="83">EU20</f>
        <v>Zu wenige Noten</v>
      </c>
      <c r="FD20" s="31"/>
      <c r="FE20" s="597"/>
      <c r="FF20" s="190"/>
      <c r="FJ20" s="31"/>
      <c r="FK20" s="597"/>
      <c r="FL20" s="190"/>
      <c r="FP20" s="31"/>
      <c r="FQ20" s="597"/>
      <c r="FR20" s="190"/>
      <c r="FV20" s="31"/>
      <c r="FW20" s="597"/>
      <c r="FX20" s="190"/>
      <c r="GB20" s="31"/>
      <c r="GC20" s="597"/>
      <c r="GD20" s="190"/>
      <c r="GF20" s="154"/>
      <c r="GH20" s="31"/>
      <c r="GI20" s="597"/>
      <c r="GJ20" s="190"/>
      <c r="GN20" s="45"/>
      <c r="GO20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0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0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0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0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0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0" s="202">
        <f t="shared" si="7"/>
        <v>0</v>
      </c>
      <c r="GV20" s="202">
        <f t="shared" si="8"/>
        <v>0</v>
      </c>
      <c r="GW20" s="202">
        <f t="shared" ref="GW20:GW48" si="84">IF((GU20+GV20)&lt;$GW$13,0,1)</f>
        <v>0</v>
      </c>
      <c r="GX20" s="200" t="str">
        <f t="shared" ref="GX20:GX48" si="85">IF(GW20,IF(GU20&gt;0,MAX(GO20:GT20),$A$2),"!")</f>
        <v>!</v>
      </c>
      <c r="GY20" s="200" t="str">
        <f t="shared" si="9"/>
        <v>!</v>
      </c>
      <c r="GZ20" s="200" t="str">
        <f t="shared" si="10"/>
        <v>!</v>
      </c>
      <c r="HA20" s="244" t="str">
        <f t="shared" ref="HA20:HA48" si="86">IF(GO20=0,"nd",IF(NOT(OR(GO20=$GX20,GO20=$GY20,GO20=$GZ20)),"nr",IF(GO20=$GX20,1,IF(GO20=$GY20,2,3))))</f>
        <v>nd</v>
      </c>
      <c r="HB20" s="244" t="str">
        <f t="shared" ref="HB20:HB48" si="87">IF(GP20=0,"nd",IF(NOT(OR(GP20=$GX20,GP20=$GY20,GP20=$GZ20)),"nr",IF(AND(GP20=$GX20,NOT(HA20=1)),1,IF(AND(GP20=$GY20,NOT(HA20=2)),2,IF(AND(GP20=$GZ20,NOT(HA20=3)),3)))))</f>
        <v>nd</v>
      </c>
      <c r="HC20" s="244" t="str">
        <f t="shared" ref="HC20:HC48" si="88">IF(GQ20=0,"nd",IF(NOT(OR(GQ20=$GX20,GQ20=$GY20,GQ20=$GZ20)),"nr",IF(AND(GQ20=$GX20,NOT(OR(HA20=1,HB20=1))),1,IF(AND(GQ20=$GY20,NOT(OR(HA20=2,HB20=2))),2,IF(AND(GQ20=$GZ20,NOT(OR(HA20=3,HB20=3))),3)))))</f>
        <v>nd</v>
      </c>
      <c r="HD20" s="244" t="str">
        <f t="shared" ref="HD20:HD48" si="89">IF(GR20=0,"nd",IF(NOT(OR(GR20=$GX20,GR20=$GY20,GR20=$GZ20)),"nr",IF(AND(GR20=$GX20,NOT(OR(HA20=1,HB20=1,HC20=1))),1,IF(AND(GR20=$GY20,NOT(OR(HA20=2,HB20=2,HC20=2))),2,IF(AND(GR20=$GZ20,NOT(OR(HA20=3,HB20=3,HC20=3))),3)))))</f>
        <v>nd</v>
      </c>
      <c r="HE20" s="244" t="str">
        <f t="shared" ref="HE20:HE48" si="90">IF(GS20=0,"nd",IF(NOT(OR(GS20=$GX20,GS20=$GY20,GS20=$GZ20)),"nr",IF(AND(GS20=$GX20,NOT(OR(HA20=1,HB20=1,HC20=1,HD20=1))),1,IF(AND(GS20=$GY20,NOT(OR(HA20=2,HB20=2,HC20=2,HD20=2))),2,IF(AND(GS20=$GZ20,NOT(OR(HA20=3,HB20=3,HC20=3,HD20=3))),3)))))</f>
        <v>nd</v>
      </c>
      <c r="HF20" s="244" t="str">
        <f t="shared" ref="HF20:HF48" si="91">IF(GT20=0,"nd",IF(NOT(OR(GT20=$GX20,GT20=$GY20,GT20=$GZ20)),"nr",IF(AND(GT20=$GX20,NOT(OR(HA20=1,HB20=1,HC20=1,HD20=1,HE20=1))),1,IF(AND(GT20=$GY20,NOT(OR(HA20=2,HB20=2,HC20=2,HD20=2,HE20=2))),2,IF(AND(GT20=$GZ20,NOT(OR(HA20=3,HB20=3,HC20=3,HD20=3,HE20=3))),3)))))</f>
        <v>nd</v>
      </c>
      <c r="HG20" s="202" t="b">
        <f t="shared" ref="HG20:HG48" si="92">IF($HA20=HG$14,$HA$14,IF($HB20=HG$14,$HB$14,IF($HC20=HG$14,$HC$14,IF($HD20=HG$14,$HD$14,IF($HE20=HG$14,$HE$14,IF($HF20=HG$14,$HF$14))))))</f>
        <v>0</v>
      </c>
      <c r="HH20" s="202">
        <f t="shared" ref="HH20:HH48" si="93">IF(AND(GU20=0,GV20=0),1,0)</f>
        <v>1</v>
      </c>
      <c r="HI20" s="202">
        <f t="shared" ref="HI20:HI48" si="94">IF(OR(GW20,HH20),0,1)</f>
        <v>0</v>
      </c>
      <c r="HJ20" s="200" t="str">
        <f t="shared" ref="HJ20:HJ48" si="95">IF(HI20,MAX($GO20:$GT20),"")</f>
        <v/>
      </c>
      <c r="HK20" s="200" t="str">
        <f t="shared" ref="HK20:HK48" si="96">IF(HI20,LARGE($GO20:$GT20,$GY$16),"")</f>
        <v/>
      </c>
      <c r="HL20" s="200">
        <f t="shared" ref="HL20:HL48" si="97">IF(AND($HI20,AND($HJ20=$HK20,$HJ20&lt;&gt;0,$HK20&lt;&gt;0)),1,0)</f>
        <v>0</v>
      </c>
      <c r="HM20" s="202" t="str">
        <f t="shared" ref="HM20:HM48" si="98">IF(AND($HI20,AND($GU20=0,$GV20=1)),INDEX($GO$14:$GT$14,,MATCH($A$2,$GO20:$GT20,0)),"")</f>
        <v/>
      </c>
      <c r="HN20" s="200" t="str">
        <f t="shared" ref="HN20:HN48" si="99">IF(AND($HI20,AND($GU20=1,$GV20=0)),INDEX($GO$14:$GT$14,,MATCH($HJ20,$GO20:$GT20,0)),"")</f>
        <v/>
      </c>
      <c r="HO20" s="200" t="str">
        <f t="shared" ref="HO20:HO48" si="100">IF(AND($HI20,AND($GU20=1,$GV20=1)),INDEX($GO$14:$GT$14,,MATCH($HJ20,$GO20:$GT20,0)),"")</f>
        <v/>
      </c>
      <c r="HP20" s="200" t="str">
        <f t="shared" ref="HP20:HP48" si="101">IF(AND($HI20,AND($GU20=0,$GV20=2)),INDEX($GO$14:$GT$14,,MATCH($A$2,$GO20:$GT20,0)),"")</f>
        <v/>
      </c>
      <c r="HQ20" s="242" t="str">
        <f t="shared" ref="HQ20:HQ48" si="102">IF(AND($HI20,AND($GU20=2,$GV20=0)),INDEX($GO$14:$GT$14,,MATCH($HJ20,$GO20:$GT20,0)),"")</f>
        <v/>
      </c>
      <c r="HR20" s="242" t="str">
        <f t="shared" ref="HR20:HR48" si="103">IF(SUM($HM20:$HQ20)=0,"",SUM($HM20:$HQ20))</f>
        <v/>
      </c>
      <c r="HS20" s="242" t="str">
        <f t="shared" ref="HS20:HS48" si="104">IF(ISNUMBER($HG20),$HG20,IF(ISNUMBER($HR20),$HR20,""))</f>
        <v/>
      </c>
      <c r="HT20" s="242" t="str">
        <f t="shared" ref="HT20:HT48" ca="1" si="105">IF($HH20,$HS$12,INDEX(INDIRECT($B$4),MATCH($HS20,INDIRECT($B$5),0)))</f>
        <v>Erstes Gerät</v>
      </c>
      <c r="HU20" s="242" t="str">
        <f ca="1">IF(HT20=$HS$12,Stammdaten!$AY$27,IF(HW20=$A$2,TRIM(Stammdaten!$AX$25),""))</f>
        <v>nicht durchgeführt</v>
      </c>
      <c r="HV20" s="242" t="str">
        <f t="shared" ref="HV20:HV48" ca="1" si="106">IFERROR(INDEX(INDIRECT($HV$2),MATCH(HT20,INDIRECT($B$4),0)),"")</f>
        <v/>
      </c>
      <c r="HW20" s="277" t="str">
        <f t="shared" si="11"/>
        <v/>
      </c>
      <c r="HX20" s="202" t="str">
        <f t="shared" ref="HX20:HX48" si="107">IF(ISNUMBER(HW20),TEXT(HW20,"#"),"")</f>
        <v/>
      </c>
      <c r="HY20" s="202" t="str">
        <f t="shared" ref="HY20:HY48" ca="1" si="108">IF(OR(ISNUMBER(HW20),HU20=$A$3),INDEX(INDIRECT($HZ$1),MATCH(HS20,INDIRECT($B$5),0)),"")</f>
        <v/>
      </c>
      <c r="HZ20" s="202" t="str">
        <f t="shared" ref="HZ20:HZ48" ca="1" si="109">$HZ$2&amp;LEFT(HY20,1)&amp;"]"</f>
        <v>StdDisziplinen[MaxTextSt]</v>
      </c>
      <c r="IA20" s="202" t="str">
        <f t="shared" ca="1" si="12"/>
        <v/>
      </c>
      <c r="IB20" s="202" t="b">
        <f t="shared" ref="IB20:IB48" si="110">IF($HA20=IB$14,$HA$14,IF($HB20=IB$14,$HB$14,IF($HC20=IB$14,$HC$14,IF($HD20=IB$14,$HD$14,IF($HE20=IB$14,$HE$14,IF($HF20=IB$14,$HF$14))))))</f>
        <v>0</v>
      </c>
      <c r="IC20" s="202" t="str">
        <f t="shared" ref="IC20:IC48" si="111">IF(AND($HI20,AND($GU20=1,$GV20=1)),INDEX($GO$14:$GT$14,,MATCH($A$2,$GO20:$GT20,0)),"")</f>
        <v/>
      </c>
      <c r="ID20" s="202" t="str">
        <f t="shared" ref="ID20:ID48" si="112">IF(NOT(AND($HI20,AND($GU20=0,$GV20=2))),"",IF($HP20=10,INDEX($GP$14:$GT$14,,MATCH($A$2,$GP20:$GT20,0)),IF($HP20=11,INDEX($GQ$14:$GT$14,,MATCH($A$2,$GQ20:$GT20,0)),IF($HP20=12,INDEX($GR$14:$GT$14,,MATCH($A$2,$GR20:$GT20,0)),IF($HP20=13,INDEX($GS$14:$GT$14,,MATCH($A$2,$GS20:$GT20,0)),IF($HP20=14,INDEX($GT$14,,MATCH($A$2,$GT20,0))))))))</f>
        <v/>
      </c>
      <c r="IE20" s="202" t="str">
        <f t="shared" ref="IE20:IE48" si="113">IF(NOT(AND($HI20,AND($GU20=2,$GV20=0))),"",IF(NOT($HL20),INDEX($GO$14:$GT$14,,MATCH($HK20,$GO20:$GT20,0)),""))</f>
        <v/>
      </c>
      <c r="IF20" s="202" t="str">
        <f t="shared" ref="IF20:IF48" si="114">IF(NOT(AND($HI20,AND($GU20=2,$GV20=0))),"",IF($HL20,IF($HQ20=10,INDEX($GP$14:$GT$14,,MATCH($HK20,$GP20:$GT20,0)),IF($HQ20=11,INDEX($GQ$14:$GT$14,,MATCH($HK20,$GQ20:$GT20,0)),IF($HQ20=12,INDEX($GR$14:$GT$14,,MATCH($HK20,$GR20:$GT20,0)),IF($HQ20=13,INDEX($GS$14:$GT$14,,MATCH($HK20,$GS20:$GT20,0)),IF($HQ20=14,INDEX($GT$14,,MATCH($HK20,$GT20,0))))))),""))</f>
        <v/>
      </c>
      <c r="IG20" s="242" t="str">
        <f t="shared" ref="IG20:IG48" si="115">IF(SUM($IC20:$IF20)=0,"",SUM($IC20:$IF20))</f>
        <v/>
      </c>
      <c r="IH20" s="242" t="str">
        <f t="shared" ref="IH20:IH48" si="116">IF(ISNUMBER($IB20),$IB20,IF(ISNUMBER($IG20),$IG20,""))</f>
        <v/>
      </c>
      <c r="II20" s="242" t="str">
        <f t="shared" ca="1" si="13"/>
        <v>Zweites Gerät</v>
      </c>
      <c r="IJ20" s="242" t="str">
        <f ca="1">IF(II20=$IH$12,Stammdaten!$AY$27,IF(IL20=$A$2,TRIM(Stammdaten!$AX$25),""))</f>
        <v>nicht durchgeführt</v>
      </c>
      <c r="IK20" s="242" t="str">
        <f t="shared" ref="IK20:IK48" ca="1" si="117">IFERROR(INDEX(INDIRECT($IK$2),MATCH(II20,INDIRECT($B$4),0)),"")</f>
        <v/>
      </c>
      <c r="IL20" s="200" t="str">
        <f t="shared" si="14"/>
        <v/>
      </c>
      <c r="IM20" s="202" t="str">
        <f t="shared" ref="IM20:IM48" si="118">IF(ISNUMBER(IL20),TEXT(IL20,"#"),"")</f>
        <v/>
      </c>
      <c r="IN20" s="202" t="str">
        <f t="shared" ref="IN20:IN48" ca="1" si="119">IF(OR(ISNUMBER(IL20),IJ20=$A$3),INDEX(INDIRECT($IO$1),MATCH(IH20,INDIRECT($B$5),0)),"")</f>
        <v/>
      </c>
      <c r="IO20" s="202" t="str">
        <f t="shared" ref="IO20:IO48" ca="1" si="120">$IO$2&amp;LEFT(IN20,1)&amp;"]"</f>
        <v>StdDisziplinen[MaxTextSt]</v>
      </c>
      <c r="IP20" s="202" t="str">
        <f t="shared" ref="IP20:IP48" ca="1" si="121">IFERROR(INDEX(INDIRECT(IO20),MATCH($IH20,INDIRECT($B$5),0)),"")</f>
        <v/>
      </c>
      <c r="IQ20" s="202" t="b">
        <f t="shared" ref="IQ20:IQ48" si="122">IF($HA20=IQ$14,$HA$14,IF($HB20=IQ$14,$HB$14,IF($HC20=IQ$14,$HC$14,IF($HD20=IQ$14,$HD$14,IF($HE20=IQ$14,$HE$14,IF($HF20=IQ$14,$HF$14))))))</f>
        <v>0</v>
      </c>
      <c r="IR20" s="242" t="str">
        <f t="shared" ca="1" si="15"/>
        <v>Drittes Gerät</v>
      </c>
      <c r="IS20" s="242" t="str">
        <f ca="1">IF(IR20=$IR$12,MID(Stammdaten!$AX$27,2,LEN(Stammdaten!$AX$27)),IF(IU20=$A$2,TRIM(Stammdaten!$AX$25),""))</f>
        <v>nicht durchgeführt</v>
      </c>
      <c r="IT20" s="242" t="str">
        <f t="shared" ca="1" si="16"/>
        <v/>
      </c>
      <c r="IU20" s="200" t="str">
        <f t="shared" si="17"/>
        <v/>
      </c>
      <c r="IV20" s="202" t="str">
        <f t="shared" ref="IV20:IV48" si="123">IF(ISNUMBER(IU20),TEXT(IU20,"#"),"")</f>
        <v/>
      </c>
      <c r="IW20" s="202" t="str">
        <f t="shared" ref="IW20:IW48" ca="1" si="124">IF(OR(ISNUMBER(IU20),IS20=$A$3),INDEX(INDIRECT($IX$1),MATCH(IQ20,INDIRECT($B$5),0)),"")</f>
        <v/>
      </c>
      <c r="IX20" s="202" t="str">
        <f t="shared" ref="IX20:IX48" ca="1" si="125">$IX$2&amp;LEFT(IW20,1)&amp;"]"</f>
        <v>StdDisziplinen[MaxTextSt]</v>
      </c>
      <c r="IY20" s="202" t="str">
        <f t="shared" ca="1" si="18"/>
        <v/>
      </c>
      <c r="IZ20" s="200" t="str">
        <f>IF(NOT(GW20),INDEX(StdFehler[StdFehler],4),IF(COUNTIF(GX20:GZ20,$A$2)&gt;=$IZ$4,$A$3,SUM(GX20:GZ20)))</f>
        <v>Zu wenige Noten</v>
      </c>
      <c r="JA20" s="31"/>
      <c r="JB20" s="587" t="e">
        <f t="shared" si="19"/>
        <v>#VALUE!</v>
      </c>
      <c r="JC20" s="191" t="str">
        <f>IF(OR(Geschlecht[[#This Row],[Geschlecht (Skala)]]="",IZ20=""),"",MID(Geschlecht[[#This Row],[Geschlecht (Skala)]],1,1)&amp;MID($FE$16,1,1))</f>
        <v/>
      </c>
      <c r="JD20" s="190" t="str">
        <f>IF(OR(JC20="",IZ20=""),"",REPLACE(INDEX(StdDisziplinen[TabÜberschriftResultat],$FE$3),FIND("X",INDEX(StdDisziplinen[TabÜberschriftResultat],$FE$3),1),2,JC20))</f>
        <v/>
      </c>
      <c r="JE20" s="192" t="str">
        <f ca="1">IF(OR(JD20="",IZ20=Stammdaten!$AZ$5),"",IF(OR(IZ20=Stammdaten!$AX$22,IZ20=Stammdaten!$AX$19),Stammdaten!$AX$19,IF(ISNA(INDEX(INDIRECT(JD20),MATCH(GeräteturnenGerundet[[#This Row],[Rundung]],INDIRECT(JD20),$JD$16))),IF($JD$16=-1,LARGE(INDIRECT(JD20),1),SMALL(INDIRECT(JD20),1)),INDEX(INDIRECT(JD20),MATCH(GeräteturnenGerundet[[#This Row],[Rundung]],INDIRECT(JD20),$JD$16)))))</f>
        <v/>
      </c>
      <c r="JG20" s="18" t="str">
        <f ca="1">IF(GeräteturnenSkalawert[[#This Row],[Skala-Wert]]="","",REPLACE(INDEX(StdDisziplinen[TabÜberschriftNote],$FE$3),FIND("X",INDEX(StdDisziplinen[TabÜberschriftNote],$FE$3),1),2,JC20))</f>
        <v/>
      </c>
      <c r="JH20" s="45" t="str">
        <f ca="1">IF(OR(JG20="",GeräteturnenSkalawert[[#This Row],[Skala-Wert]]=Stammdaten!$AX$19),"",INDEX(INDIRECT(JG20),MATCH(GeräteturnenSkalawert[[#This Row],[Skala-Wert]],INDIRECT(JD20),0)))</f>
        <v/>
      </c>
      <c r="JI20" s="31"/>
      <c r="JJ20" s="597"/>
      <c r="JK20" s="190"/>
      <c r="JL20" s="587">
        <f>IF(JL$16,IF(JM$16=0.5,MROUND(ParkourResultat[[#This Row],[Resultat]],JM$16),ROUND(ParkourResultat[[#This Row],[Resultat]],JM$16)),ROUNDDOWN(ParkourResultat[[#This Row],[Resultat]],JM$16))</f>
        <v>0</v>
      </c>
      <c r="JM20" s="191" t="str">
        <f>IF(OR(Geschlecht[[#This Row],[Geschlecht (Skala)]]="",JJ$16=""),"",MID(Geschlecht[[#This Row],[Geschlecht (Skala)]],1,1)&amp;MID(JJ$16,1,1))</f>
        <v/>
      </c>
      <c r="JN20" s="190" t="str">
        <f>IF(OR(JM20="",ParkourResultat[[#This Row],[Resultat]]=""),"",REPLACE(INDEX(StdDisziplinen[TabÜberschriftResultat],JJ$3),FIND("X",INDEX(StdDisziplinen[TabÜberschriftResultat],JJ$3),1),2,JM20))</f>
        <v/>
      </c>
      <c r="JO20" s="192" t="str">
        <f ca="1">IF(JN20="","",IF(OR(ParkourResultat[[#This Row],[Resultat]]=Stammdaten!$AX$22,ParkourResultat[[#This Row],[Resultat]]=Stammdaten!$AX$19),Stammdaten!$AX$19,IF(ISNA(INDEX(INDIRECT(JN20),MATCH(ParkourGerundet[[#This Row],[Rundung]],INDIRECT(JN20),JN$18))),IF(JN$18=-1,LARGE(INDIRECT(JN20),1),SMALL(INDIRECT(JN20),1)),INDEX(INDIRECT(JN20),MATCH(ParkourGerundet[[#This Row],[Rundung]],INDIRECT(JN20),JN$18)))))</f>
        <v/>
      </c>
      <c r="JQ20" s="18" t="str">
        <f ca="1">IF(ParkourSkalawert[[#This Row],[Skala-Wert]]="","",REPLACE(INDEX(StdDisziplinen[TabÜberschriftNote],JJ$3),FIND("X",INDEX(StdDisziplinen[TabÜberschriftNote],JJ$3),1),2,JM20))</f>
        <v/>
      </c>
      <c r="JR20" s="31" t="str">
        <f ca="1">IF(OR(JQ20="",ParkourSkalawert[[#This Row],[Skala-Wert]]=Stammdaten!$AX$19),"",INDEX(INDIRECT(JQ20),MATCH(ParkourSkalawert[[#This Row],[Skala-Wert]],INDIRECT(JN20),0)))</f>
        <v/>
      </c>
      <c r="JS20" s="96"/>
      <c r="JT20" s="47" t="str">
        <f ca="1">IF(OR(ISNUMBER(ParkourSkalawert[[#This Row],[Skala-Wert]]),ParkourSkalawert[[#This Row],[Skala-Wert]]=$A$3),INDEX(INDIRECT($JU$1),MATCH($JJ$3,INDIRECT($B$5),0)),"")</f>
        <v/>
      </c>
      <c r="JU20" s="200" t="str">
        <f t="shared" ref="JU20:JU48" ca="1" si="126">$JU$2&amp;LEFT(JT20,1)&amp;"]"</f>
        <v>StdDisziplinen[MaxTextSt]</v>
      </c>
      <c r="JV20" s="200" t="str">
        <f t="shared" ref="JV20:JV48" ca="1" si="127">IFERROR(INDEX(INDIRECT(JU20),MATCH($JJ$3,INDIRECT($B$5),0)),"")</f>
        <v/>
      </c>
      <c r="JW20" s="98">
        <f ca="1">IF(GeräteturnenSkalawert[[#This Row],[Skala-Wert]]=$A$3,$A$2,IF(GeräteturnenNote[[#This Row],[Note]]="",0,GeräteturnenNote[[#This Row],[Note]]))</f>
        <v>0</v>
      </c>
      <c r="JX20" s="96">
        <f ca="1">IF(ParkourSkalawert[[#This Row],[Skala-Wert]]=$A$3,$A$2,IF(ParkourNote[[#This Row],[Note]]="",0,ParkourNote[[#This Row],[Note]]))</f>
        <v>0</v>
      </c>
      <c r="JY20" s="200">
        <f t="shared" ref="JY20:JY48" ca="1" si="128">AND(ISNUMBER(JW20),JW20&gt;0)+AND(ISNUMBER(JX20),JX20&gt;0)</f>
        <v>0</v>
      </c>
      <c r="JZ20" s="200">
        <f t="shared" ref="JZ20:JZ48" ca="1" si="129">COUNTIF(JW20:JX20,$A$2)</f>
        <v>0</v>
      </c>
      <c r="KA20" s="202">
        <f t="shared" ref="KA20:KA48" ca="1" si="130">IF((JY20+JZ20)&lt;$KA$12,0,1)</f>
        <v>0</v>
      </c>
      <c r="KB20" s="98" t="str">
        <f t="shared" ca="1" si="20"/>
        <v>!</v>
      </c>
      <c r="KC20" s="98" t="str">
        <f t="shared" ca="1" si="21"/>
        <v>!</v>
      </c>
      <c r="KD20" s="202" t="str">
        <f ca="1">IF(NOT(KA20),INDEX(StdFehler[StdFehler],4),IF(JZ20=$KA$12,$A$3,IF(JW20=$A$2,JX20,IF(JX20=$A$2,JW20,CONCATENATE(JW20,", ",JX20)))))</f>
        <v>Zu wenige Noten</v>
      </c>
      <c r="KE20" s="202" t="str">
        <f t="shared" ref="KE20:KE48" ca="1" si="131">$KD20</f>
        <v>Zu wenige Noten</v>
      </c>
      <c r="KF20" s="31"/>
      <c r="KG20" s="56" t="str">
        <f ca="1">IF(NOT(KA20),INDEX(StdFehler[StdFehler],4),IF(JZ20=$KA$12,$A$3,ROUND(AVERAGE(KB20:KC20)/$KG$4,0)*$KG$4))</f>
        <v>Zu wenige Noten</v>
      </c>
      <c r="KH20" s="31"/>
      <c r="KI20" s="599"/>
      <c r="KJ20" s="190"/>
      <c r="KK20" s="586">
        <f>IF(KK$16,IF(KL$16=0.5,MROUND(TanzenResultat[[#This Row],[Resultat]],KL$16),ROUND(TanzenResultat[[#This Row],[Resultat]],KL$16)),ROUNDDOWN(TanzenResultat[[#This Row],[Resultat]],KL$16))</f>
        <v>0</v>
      </c>
      <c r="KL20" s="191" t="str">
        <f>IF(OR(Geschlecht[[#This Row],[Geschlecht (Skala)]]="",KI$16=""),"",MID(Geschlecht[[#This Row],[Geschlecht (Skala)]],1,1)&amp;MID(KI$16,1,1))</f>
        <v/>
      </c>
      <c r="KM20" s="190" t="str">
        <f>IF(OR(KL20="",TanzenResultat[[#This Row],[Resultat]]=""),"",REPLACE(INDEX(StdDisziplinen[TabÜberschriftResultat],KI$3),FIND("X",INDEX(StdDisziplinen[TabÜberschriftResultat],KI$3),1),2,KL20))</f>
        <v/>
      </c>
      <c r="KN20" s="31" t="str">
        <f ca="1">IF(KM20="","",IF(OR(TanzenResultat[[#This Row],[Resultat]]=Stammdaten!$AX$22,TanzenResultat[[#This Row],[Resultat]]=Stammdaten!$AX$19),Stammdaten!$AX$19,IF(ISNA(INDEX(INDIRECT(KM20),MATCH(TanzenGerundet[[#This Row],[Rundung]],INDIRECT(KM20),KM$18))),IF(KM$18=-1,LARGE(INDIRECT(KM20),1),SMALL(INDIRECT(KM20),1)),INDEX(INDIRECT(KM20),MATCH(TanzenGerundet[[#This Row],[Rundung]],INDIRECT(KM20),KM$18)))))</f>
        <v/>
      </c>
      <c r="KP20" s="18" t="str">
        <f ca="1">IF(TanzenSkalawert[[#This Row],[Skala-Wert]]="","",REPLACE(INDEX(StdDisziplinen[TabÜberschriftNote],KI$3),FIND("X",INDEX(StdDisziplinen[TabÜberschriftNote],KI$3),1),2,KL20))</f>
        <v/>
      </c>
      <c r="KQ20" s="45" t="str">
        <f ca="1">IF(OR(KP20="",TanzenSkalawert[[#This Row],[Skala-Wert]]=Stammdaten!$AX$19),"",INDEX(INDIRECT(KP20),MATCH(TanzenSkalawert[[#This Row],[Skala-Wert]],INDIRECT(KM20),0)))</f>
        <v/>
      </c>
      <c r="KR20" s="31"/>
      <c r="KS20" s="597"/>
      <c r="KT20" s="190"/>
      <c r="KU20" s="587">
        <f>IF(KU$16,IF(KV$16=0.5,MROUND(RopeSkippingResultat[[#This Row],[Resultat]],KV$16),ROUND(RopeSkippingResultat[[#This Row],[Resultat]],KV$16)),ROUNDDOWN(RopeSkippingResultat[[#This Row],[Resultat]],KV$16))</f>
        <v>0</v>
      </c>
      <c r="KV20" s="191" t="str">
        <f>IF(OR(Geschlecht[[#This Row],[Geschlecht (Skala)]]="",KS$16=""),"",MID(Geschlecht[[#This Row],[Geschlecht (Skala)]],1,1)&amp;MID(KS$16,1,1))</f>
        <v/>
      </c>
      <c r="KW20" s="190" t="str">
        <f>IF(OR(KV20="",RopeSkippingResultat[[#This Row],[Resultat]]=""),"",REPLACE(INDEX(StdDisziplinen[TabÜberschriftResultat],KS$3),FIND("X",INDEX(StdDisziplinen[TabÜberschriftResultat],KS$3),1),2,KV20))</f>
        <v/>
      </c>
      <c r="KX20" s="192" t="str">
        <f ca="1">IF(KW20="","",IF(OR(RopeSkippingResultat[[#This Row],[Resultat]]=Stammdaten!$AX$22,RopeSkippingResultat[[#This Row],[Resultat]]=Stammdaten!$AX$19),Stammdaten!$AX$19,IF(ISNA(INDEX(INDIRECT(KW20),MATCH(RopeSkippingGerundet[[#This Row],[Rundung]],INDIRECT(KW20),KW$18))),IF(KW$18=-1,LARGE(INDIRECT(KW20),1),SMALL(INDIRECT(KW20),1)),INDEX(INDIRECT(KW20),MATCH(RopeSkippingGerundet[[#This Row],[Rundung]],INDIRECT(KW20),KW$18)))))</f>
        <v/>
      </c>
      <c r="KZ20" s="18" t="str">
        <f ca="1">IF(RopeSkippingSkalawert[[#This Row],[Skala-Wert]]="","",REPLACE(INDEX(StdDisziplinen[TabÜberschriftNote],KS$3),FIND("X",INDEX(StdDisziplinen[TabÜberschriftNote],KS$3),1),2,KV20))</f>
        <v/>
      </c>
      <c r="LA20" s="45" t="str">
        <f ca="1">IF(OR(KZ20="",RopeSkippingSkalawert[[#This Row],[Skala-Wert]]=Stammdaten!$AX$19),"",INDEX(INDIRECT(KZ20),MATCH(RopeSkippingSkalawert[[#This Row],[Skala-Wert]],INDIRECT(KW20),0)))</f>
        <v/>
      </c>
      <c r="LB20" s="31"/>
      <c r="LC20" s="599"/>
      <c r="LD20" s="190"/>
      <c r="LE20" s="586">
        <f>IF(LE$16,IF(LF$16=0.5,MROUND(AerobicResultat[[#This Row],[Resultat]],LF$16),ROUND(AerobicResultat[[#This Row],[Resultat]],LF$16)),ROUNDDOWN(AerobicResultat[[#This Row],[Resultat]],LF$16))</f>
        <v>0</v>
      </c>
      <c r="LF20" s="191" t="str">
        <f>IF(OR(Geschlecht[[#This Row],[Geschlecht (Skala)]]="",LC$16=""),"",MID(Geschlecht[[#This Row],[Geschlecht (Skala)]],1,1)&amp;MID(LC$16,1,1))</f>
        <v/>
      </c>
      <c r="LG20" s="190" t="str">
        <f>IF(OR(LF20="",AerobicResultat[[#This Row],[Resultat]]=""),"",REPLACE(INDEX(StdDisziplinen[TabÜberschriftResultat],LC$3),FIND("X",INDEX(StdDisziplinen[TabÜberschriftResultat],LC$3),1),2,LF20))</f>
        <v/>
      </c>
      <c r="LH20" s="31" t="str">
        <f ca="1">IF(LG20="","",IF(OR(AerobicResultat[[#This Row],[Resultat]]=Stammdaten!$AX$22,AerobicResultat[[#This Row],[Resultat]]=Stammdaten!$AX$19),Stammdaten!$AX$19,IF(ISNA(INDEX(INDIRECT(LG20),MATCH(AerobicGerundet[[#This Row],[Rundung]],INDIRECT(LG20),LG$18))),IF(LG$18=-1,LARGE(INDIRECT(LG20),1),SMALL(INDIRECT(LG20),1)),INDEX(INDIRECT(LG20),MATCH(AerobicGerundet[[#This Row],[Rundung]],INDIRECT(LG20),LG$18)))))</f>
        <v/>
      </c>
      <c r="LJ20" s="18" t="str">
        <f ca="1">IF(AerobicSkalawert[[#This Row],[Skala-Wert]]="","",REPLACE(INDEX(StdDisziplinen[TabÜberschriftNote],LC$3),FIND("X",INDEX(StdDisziplinen[TabÜberschriftNote],LC$3),1),2,LF20))</f>
        <v/>
      </c>
      <c r="LK20" s="45" t="str">
        <f ca="1">IF(OR(LJ20="",AerobicSkalawert[[#This Row],[Skala-Wert]]=Stammdaten!$AX$19),"",INDEX(INDIRECT(LJ20),MATCH(AerobicSkalawert[[#This Row],[Skala-Wert]],INDIRECT(LG20),0)))</f>
        <v/>
      </c>
      <c r="LL20" s="31"/>
      <c r="LM20" s="45" t="str">
        <f ca="1">IF(TanzenSkalawert[[#This Row],[Skala-Wert]]=$A$3,$A$2,IF(ISNUMBER(TanzenSkalawert[[#This Row],[Skala-Wert]]),TanzenNote[[#This Row],[Note]],"!"))</f>
        <v>!</v>
      </c>
      <c r="LN20" s="45" t="str">
        <f ca="1">IF(RopeSkippingSkalawert[[#This Row],[Skala-Wert]]=$A$3,$A$2,IF(ISNUMBER(RopeSkippingSkalawert[[#This Row],[Skala-Wert]]),RopeSkippingNote[[#This Row],[Note]],"!"))</f>
        <v>!</v>
      </c>
      <c r="LO20" s="45" t="str">
        <f ca="1">IF(AerobicSkalawert[[#This Row],[Skala-Wert]]=$A$3,$A$2,IF(ISNUMBER(AerobicSkalawert[[#This Row],[Skala-Wert]]),AerobicNote[[#This Row],[Note]],"!"))</f>
        <v>!</v>
      </c>
      <c r="LP20" s="36">
        <f t="shared" ref="LP20:LP48" ca="1" si="132">ISNUMBER(LM20)+ISNUMBER(LN20)+ISNUMBER(LO20)</f>
        <v>0</v>
      </c>
      <c r="LQ20" s="36">
        <f t="shared" ref="LQ20:LQ48" ca="1" si="133">COUNTIF(LM20:LO20,$A$2)</f>
        <v>0</v>
      </c>
      <c r="LR20" s="244" t="str">
        <f t="shared" ca="1" si="22"/>
        <v>nd</v>
      </c>
      <c r="LS20" s="244" t="str">
        <f t="shared" ca="1" si="23"/>
        <v>nd</v>
      </c>
      <c r="LT20" s="244" t="str">
        <f t="shared" ca="1" si="24"/>
        <v>nd</v>
      </c>
      <c r="LU20" s="242" t="str">
        <f t="shared" ca="1" si="25"/>
        <v/>
      </c>
      <c r="LV20" s="242" t="str">
        <f t="shared" ref="LV20:LV48" ca="1" si="134">IF(LR20=$A$2,$LM$3,IF(LS20=$A$2,$LN$3,IF(LT20=$A$2,$LO$3,"")))</f>
        <v/>
      </c>
      <c r="LW20" s="242" t="str">
        <f t="shared" ref="LW20:LW48" ca="1" si="135">IF(SUM(LU20:LV20)=0,"",SUM(LU20:LV20))</f>
        <v/>
      </c>
      <c r="LX20" s="242" t="str">
        <f ca="1">IF(LW20="",Stammdaten!$AM$4,INDEX(INDIRECT($B$4),MATCH($LW20,INDIRECT($B$5),0)))</f>
        <v>Darstellen und Tanzen</v>
      </c>
      <c r="LY20" s="242" t="str">
        <f ca="1">IF(LW20="",Stammdaten!$AY$27,IF(ISNUMBER(LU20),LX20,IF(ISNUMBER(LV20),TRIM(Stammdaten!$AX$25),"")))</f>
        <v>nicht durchgeführt</v>
      </c>
      <c r="LZ20" s="242" t="str">
        <f t="shared" ref="LZ20:LZ48" ca="1" si="136">IFERROR(REPLACE(LX20,FIND("-",LX20,1),1,""),LX20)</f>
        <v>Darstellen und Tanzen</v>
      </c>
      <c r="MA20" s="242" t="str">
        <f t="shared" ref="MA20:MA48" ca="1" si="137">IFERROR(INDEX(INDIRECT($MA$1),$LU20),"")</f>
        <v/>
      </c>
      <c r="MB20" s="242" t="str">
        <f t="shared" ca="1" si="26"/>
        <v>Darstellen und TanzenResultat[@Resultat]</v>
      </c>
      <c r="MC20" s="274" t="str">
        <f t="shared" ref="MC20:MC48" ca="1" si="138">IFERROR(IF(MA20=0.5,TEXT(INDIRECT(MB20),"#.0"),IF(MA20=0,TEXT(INDIRECT(MB20),"#"),"")),"")</f>
        <v/>
      </c>
      <c r="MD20" s="242" t="str">
        <f t="shared" ref="MD20:MD48" ca="1" si="139">LZ20&amp;$MD$1&amp;$MD$2</f>
        <v>Darstellen und TanzenSkalawert[@[Skala-Wert]]</v>
      </c>
      <c r="ME20" s="274" t="str">
        <f t="shared" ref="ME20:ME48" ca="1" si="140">IFERROR(IF(MA20="","",IF(MA20=0,TEXT(INDIRECT(MD20),"#"),IF(AND(MA20=0.5,RIGHT(INDIRECT(MD20),2)=".5"),TEXT(INDIRECT(MD20),"#.0"),TEXT(INDIRECT(MD20),"#")))),"")</f>
        <v/>
      </c>
      <c r="MF20" s="47" t="str">
        <f t="shared" ca="1" si="27"/>
        <v/>
      </c>
      <c r="MG20" s="200" t="str">
        <f t="shared" ref="MG20:MG48" ca="1" si="141">$MG$2&amp;LEFT(MF20,1)&amp;"]"</f>
        <v>StdDisziplinen[MaxTextSt]</v>
      </c>
      <c r="MH20" s="200" t="str">
        <f t="shared" ref="MH20:MH48" ca="1" si="142">IFERROR(INDEX(INDIRECT(MG20),MATCH(LW20,INDIRECT($B$5),0)),"")</f>
        <v/>
      </c>
      <c r="MI20" s="45"/>
      <c r="MJ20" s="98" t="str">
        <f ca="1">IF(LP20&gt;0,MAX(LM20:LO20),IF(LQ20&gt;0,$A$3,INDEX(StdFehler[StdFehler],4)))</f>
        <v>Zu wenige Noten</v>
      </c>
      <c r="MK20" s="45"/>
      <c r="ML20" s="37"/>
      <c r="MM20" s="190"/>
      <c r="MN20" s="586">
        <f>IF(MN$16,IF(MO$16=0.5,MROUND(BasketballResultat[[#This Row],[Resultat]],MO$16),ROUND(BasketballResultat[[#This Row],[Resultat]],MO$16)),ROUNDDOWN(BasketballResultat[[#This Row],[Resultat]],MO$16))</f>
        <v>0</v>
      </c>
      <c r="MO20" s="191" t="str">
        <f>IF(OR(Geschlecht[[#This Row],[Geschlecht (Skala)]]="",ML$16=""),"",MID(Geschlecht[[#This Row],[Geschlecht (Skala)]],1,1)&amp;MID(ML$16,1,1))</f>
        <v/>
      </c>
      <c r="MP20" s="190" t="str">
        <f>IF(OR(MO20="",BasketballResultat[[#This Row],[Resultat]]=""),"",REPLACE(INDEX(StdDisziplinen[TabÜberschriftResultat],ML$3),FIND("X",INDEX(StdDisziplinen[TabÜberschriftResultat],ML$3),1),2,MO20))</f>
        <v/>
      </c>
      <c r="MQ20" s="31" t="str">
        <f ca="1">IF(MP20="","",IF(OR(BasketballResultat[[#This Row],[Resultat]]=Stammdaten!$AX$22,BasketballResultat[[#This Row],[Resultat]]=Stammdaten!$AX$19),Stammdaten!$AX$19,IF(ISNA(INDEX(INDIRECT(MP20),MATCH(BasketballGerundet[[#This Row],[Rundung]],INDIRECT(MP20),MP$18))),IF(MP$18=-1,LARGE(INDIRECT(MP20),1),SMALL(INDIRECT(MP20),1)),INDEX(INDIRECT(MP20),MATCH(BasketballGerundet[[#This Row],[Rundung]],INDIRECT(MP20),MP$18)))))</f>
        <v/>
      </c>
      <c r="MS20" s="18" t="str">
        <f ca="1">IF(BasketballSkalawert[[#This Row],[Skala-Wert]]="","",REPLACE(INDEX(StdDisziplinen[TabÜberschriftNote],ML$3),FIND("X",INDEX(StdDisziplinen[TabÜberschriftNote],ML$3),1),2,MO20))</f>
        <v/>
      </c>
      <c r="MT20" s="31" t="str">
        <f ca="1">IF(OR(MS20="",BasketballSkalawert[[#This Row],[Skala-Wert]]=Stammdaten!$AX$19),"",INDEX(INDIRECT(MS20),MATCH(BasketballSkalawert[[#This Row],[Skala-Wert]],INDIRECT(MP20),0)))</f>
        <v/>
      </c>
      <c r="MU20" s="31"/>
      <c r="MV20" s="37"/>
      <c r="MW20" s="190"/>
      <c r="MX20" s="586">
        <f>IF(MX$16,IF(MY$16=0.5,MROUND(FussballResultat[[#This Row],[Resultat]],MY$16),ROUND(FussballResultat[[#This Row],[Resultat]],MY$16)),ROUNDDOWN(FussballResultat[[#This Row],[Resultat]],MY$16))</f>
        <v>0</v>
      </c>
      <c r="MY20" s="191" t="str">
        <f>IF(OR(Geschlecht[[#This Row],[Geschlecht (Skala)]]="",MV$16=""),"",MID(Geschlecht[[#This Row],[Geschlecht (Skala)]],1,1)&amp;MID(MV$16,1,1))</f>
        <v/>
      </c>
      <c r="MZ20" s="190" t="str">
        <f>IF(OR(MY20="",FussballResultat[[#This Row],[Resultat]]=""),"",REPLACE(INDEX(StdDisziplinen[TabÜberschriftResultat],MV$3),FIND("X",INDEX(StdDisziplinen[TabÜberschriftResultat],MV$3),1),2,MY20))</f>
        <v/>
      </c>
      <c r="NA20" s="31" t="str">
        <f ca="1">IF(MZ20="","",IF(OR(FussballResultat[[#This Row],[Resultat]]=Stammdaten!$AX$22,FussballResultat[[#This Row],[Resultat]]=Stammdaten!$AX$19),Stammdaten!$AX$19,IF(ISNA(INDEX(INDIRECT(MZ20),MATCH(FussballGerundet[[#This Row],[Rundung]],INDIRECT(MZ20),MZ$18))),IF(MZ$18=-1,LARGE(INDIRECT(MZ20),1),SMALL(INDIRECT(MZ20),1)),INDEX(INDIRECT(MZ20),MATCH(FussballGerundet[[#This Row],[Rundung]],INDIRECT(MZ20),MZ$18)))))</f>
        <v/>
      </c>
      <c r="NC20" s="18" t="str">
        <f ca="1">IF(FussballSkalawert[[#This Row],[Skala-Wert]]="","",REPLACE(INDEX(StdDisziplinen[TabÜberschriftNote],MV$3),FIND("X",INDEX(StdDisziplinen[TabÜberschriftNote],MV$3),1),2,MY20))</f>
        <v/>
      </c>
      <c r="ND20" s="31" t="str">
        <f ca="1">IF(OR(NC20="",FussballSkalawert[[#This Row],[Skala-Wert]]=Stammdaten!$AX$19),"",INDEX(INDIRECT(NC20),MATCH(FussballSkalawert[[#This Row],[Skala-Wert]],INDIRECT(MZ20),0)))</f>
        <v/>
      </c>
      <c r="NE20" s="31"/>
      <c r="NF20" s="37"/>
      <c r="NG20" s="190"/>
      <c r="NH20" s="586">
        <f>IF(NH$16,IF(NI$16=0.5,MROUND(HandballResultat[[#This Row],[Resultat]],NI$16),ROUND(HandballResultat[[#This Row],[Resultat]],NI$16)),ROUNDDOWN(HandballResultat[[#This Row],[Resultat]],NI$16))</f>
        <v>0</v>
      </c>
      <c r="NI20" s="191" t="str">
        <f>IF(OR(Geschlecht[[#This Row],[Geschlecht (Skala)]]="",NF$16=""),"",MID(Geschlecht[[#This Row],[Geschlecht (Skala)]],1,1)&amp;MID(NF$16,1,1))</f>
        <v/>
      </c>
      <c r="NJ20" s="190" t="str">
        <f>IF(OR(NI20="",HandballResultat[[#This Row],[Resultat]]=""),"",REPLACE(INDEX(StdDisziplinen[TabÜberschriftResultat],NF$3),FIND("X",INDEX(StdDisziplinen[TabÜberschriftResultat],NF$3),1),2,NI20))</f>
        <v/>
      </c>
      <c r="NK20" s="31" t="str">
        <f ca="1">IF(NJ20="","",IF(OR(HandballResultat[[#This Row],[Resultat]]=Stammdaten!$AX$22,HandballResultat[[#This Row],[Resultat]]=Stammdaten!$AX$19),Stammdaten!$AX$19,IF(ISNA(INDEX(INDIRECT(NJ20),MATCH(HandballGerundet[[#This Row],[Rundung]],INDIRECT(NJ20),NJ$18))),IF(NJ$18=-1,LARGE(INDIRECT(NJ20),1),SMALL(INDIRECT(NJ20),1)),INDEX(INDIRECT(NJ20),MATCH(HandballGerundet[[#This Row],[Rundung]],INDIRECT(NJ20),NJ$18)))))</f>
        <v/>
      </c>
      <c r="NM20" s="18" t="str">
        <f ca="1">IF(HandballSkalawert[[#This Row],[Skala-Wert]]="","",REPLACE(INDEX(StdDisziplinen[TabÜberschriftNote],NF$3),FIND("X",INDEX(StdDisziplinen[TabÜberschriftNote],NF$3),1),2,NI20))</f>
        <v/>
      </c>
      <c r="NN20" s="31" t="str">
        <f ca="1">IF(OR(NM20="",HandballSkalawert[[#This Row],[Skala-Wert]]=Stammdaten!$AX$19),"",INDEX(INDIRECT(NM20),MATCH(HandballSkalawert[[#This Row],[Skala-Wert]],INDIRECT(NJ20),0)))</f>
        <v/>
      </c>
      <c r="NO20" s="31"/>
      <c r="NP20" s="37"/>
      <c r="NQ20" s="190"/>
      <c r="NR20" s="586">
        <f>IF(NR$16,IF(NS$16=0.5,MROUND(UnihockeyResultat[[#This Row],[Resultat]],NS$16),ROUND(UnihockeyResultat[[#This Row],[Resultat]],NS$16)),ROUNDDOWN(UnihockeyResultat[[#This Row],[Resultat]],NS$16))</f>
        <v>0</v>
      </c>
      <c r="NS20" s="191" t="str">
        <f>IF(OR(Geschlecht[[#This Row],[Geschlecht (Skala)]]="",NP$16=""),"",MID(Geschlecht[[#This Row],[Geschlecht (Skala)]],1,1)&amp;MID(NP$16,1,1))</f>
        <v/>
      </c>
      <c r="NT20" s="190" t="str">
        <f>IF(OR(NS20="",UnihockeyResultat[[#This Row],[Resultat]]=""),"",REPLACE(INDEX(StdDisziplinen[TabÜberschriftResultat],NP$3),FIND("X",INDEX(StdDisziplinen[TabÜberschriftResultat],NP$3),1),2,NS20))</f>
        <v/>
      </c>
      <c r="NU20" s="31" t="str">
        <f ca="1">IF(NT20="","",IF(OR(UnihockeyResultat[[#This Row],[Resultat]]=Stammdaten!$AX$22,UnihockeyResultat[[#This Row],[Resultat]]=Stammdaten!$AX$19),Stammdaten!$AX$19,IF(ISNA(INDEX(INDIRECT(NT20),MATCH(UnihockeyGerundet[[#This Row],[Rundung]],INDIRECT(NT20),NT$18))),IF(NT$18=-1,LARGE(INDIRECT(NT20),1),SMALL(INDIRECT(NT20),1)),INDEX(INDIRECT(NT20),MATCH(UnihockeyGerundet[[#This Row],[Rundung]],INDIRECT(NT20),NT$18)))))</f>
        <v/>
      </c>
      <c r="NW20" s="18" t="str">
        <f ca="1">IF(UnihockeySkalawert[[#This Row],[Skala-Wert]]="","",REPLACE(INDEX(StdDisziplinen[TabÜberschriftNote],NP$3),FIND("X",INDEX(StdDisziplinen[TabÜberschriftNote],NP$3),1),2,NS20))</f>
        <v/>
      </c>
      <c r="NX20" s="31" t="str">
        <f ca="1">IF(OR(NW20="",UnihockeySkalawert[[#This Row],[Skala-Wert]]=Stammdaten!$AX$19),"",INDEX(INDIRECT(NW20),MATCH(UnihockeySkalawert[[#This Row],[Skala-Wert]],INDIRECT(NT20),0)))</f>
        <v/>
      </c>
      <c r="NY20" s="31"/>
      <c r="NZ20" s="597"/>
      <c r="OA20" s="190"/>
      <c r="OB20" s="587">
        <f>IF(OB$16,IF(OC$16=0.5,MROUND(VolleyballResultat[[#This Row],[Resultat]],OC$16),ROUND(VolleyballResultat[[#This Row],[Resultat]],OC$16)),ROUNDDOWN(VolleyballResultat[[#This Row],[Resultat]],OC$16))</f>
        <v>0</v>
      </c>
      <c r="OC20" s="191" t="str">
        <f>IF(OR(Geschlecht[[#This Row],[Geschlecht (Skala)]]="",NZ$16=""),"",MID(Geschlecht[[#This Row],[Geschlecht (Skala)]],1,1)&amp;MID(NZ$16,1,1))</f>
        <v/>
      </c>
      <c r="OD20" s="190" t="str">
        <f>IF(OR(OC20="",VolleyballResultat[[#This Row],[Resultat]]=""),"",REPLACE(INDEX(StdDisziplinen[TabÜberschriftResultat],NZ$3),FIND("X",INDEX(StdDisziplinen[TabÜberschriftResultat],NZ$3),1),2,OC20))</f>
        <v/>
      </c>
      <c r="OE20" s="192" t="str">
        <f ca="1">IF(OD20="","",IF(OR(VolleyballResultat[[#This Row],[Resultat]]=Stammdaten!$AX$22,VolleyballResultat[[#This Row],[Resultat]]=Stammdaten!$AX$19),Stammdaten!$AX$19,IF(ISNA(INDEX(INDIRECT(OD20),MATCH(VolleyballGerundet[[#This Row],[Rundung]],INDIRECT(OD20),OD$18))),IF(OD$18=-1,LARGE(INDIRECT(OD20),1),SMALL(INDIRECT(OD20),1)),INDEX(INDIRECT(OD20),MATCH(VolleyballGerundet[[#This Row],[Rundung]],INDIRECT(OD20),OD$18)))))</f>
        <v/>
      </c>
      <c r="OG20" s="18" t="str">
        <f ca="1">IF(VolleyballSkalawert[[#This Row],[Skala-Wert]]="","",REPLACE(INDEX(StdDisziplinen[TabÜberschriftNote],NZ$3),FIND("X",INDEX(StdDisziplinen[TabÜberschriftNote],NZ$3),1),2,OC20))</f>
        <v/>
      </c>
      <c r="OH20" s="31" t="str">
        <f ca="1">IF(OR(OG20="",VolleyballSkalawert[[#This Row],[Skala-Wert]]=Stammdaten!$AX$19),"",INDEX(INDIRECT(OG20),MATCH(VolleyballSkalawert[[#This Row],[Skala-Wert]],INDIRECT(OD20),0)))</f>
        <v/>
      </c>
      <c r="OI20" s="45"/>
      <c r="OJ20" s="31">
        <f ca="1">IF(BasketballSkalawert[[#This Row],[Skala-Wert]]=$A$3,$A$2,IF(BasketballNote[[#This Row],[Note]]="",0,BasketballNote[[#This Row],[Note]]))</f>
        <v>0</v>
      </c>
      <c r="OK20" s="31">
        <f ca="1">IF(FussballSkalawert[[#This Row],[Skala-Wert]]=$A$3,$A$2,IF(FussballNote[[#This Row],[Note]]="",0,FussballNote[[#This Row],[Note]]))</f>
        <v>0</v>
      </c>
      <c r="OL20" s="31">
        <f ca="1">IF(HandballSkalawert[[#This Row],[Skala-Wert]]=$A$3,$A$2,IF(HandballNote[[#This Row],[Note]]="",0,HandballNote[[#This Row],[Note]]))</f>
        <v>0</v>
      </c>
      <c r="OM20" s="31">
        <f ca="1">IF(UnihockeySkalawert[[#This Row],[Skala-Wert]]=$A$3,$A$2,IF(UnihockeyNote[[#This Row],[Note]]="",0,UnihockeyNote[[#This Row],[Note]]))</f>
        <v>0</v>
      </c>
      <c r="ON20" s="31">
        <f ca="1">IF(VolleyballSkalawert[[#This Row],[Skala-Wert]]=$A$3,$A$2,IF(VolleyballNote[[#This Row],[Note]]="",0,VolleyballNote[[#This Row],[Note]]))</f>
        <v>0</v>
      </c>
      <c r="OO20" s="202">
        <f t="shared" ca="1" si="28"/>
        <v>0</v>
      </c>
      <c r="OP20" s="202">
        <f t="shared" ca="1" si="29"/>
        <v>0</v>
      </c>
      <c r="OQ20" s="202">
        <f t="shared" ref="OQ20:OQ48" ca="1" si="143">IF((OO20+OP20)&lt;$OQ$13,0,1)</f>
        <v>0</v>
      </c>
      <c r="OR20" s="96" t="str">
        <f t="shared" ref="OR20:OR48" ca="1" si="144">IF(OQ20,IF(OO20&gt;0,MAX(OJ20:ON20),$A$2),"!")</f>
        <v>!</v>
      </c>
      <c r="OS20" s="96" t="str">
        <f t="shared" ca="1" si="30"/>
        <v>!</v>
      </c>
      <c r="OT20" s="96" t="str">
        <f t="shared" ca="1" si="31"/>
        <v>!</v>
      </c>
      <c r="OU20" s="96" t="str">
        <f ca="1">IF(NOT(OQ20),INDEX(StdFehler[StdFehler],4),IF(COUNTIF(OR20:OT20,$A$2)&gt;=$OQ$13,$A$3,ROUND(AVERAGE(OR20:OT20)/$RX$4,0)*$RX$4))</f>
        <v>Zu wenige Noten</v>
      </c>
      <c r="OV20" s="244" t="str">
        <f t="shared" ref="OV20:OV48" ca="1" si="145">IF(OJ20=0,"nd",IF(NOT(OR(OJ20=$OR20,OJ20=$OS20,OJ20=$OT20)),"nr",IF(OJ20=$OR20,1,IF(OJ20=$OS20,2,3))))</f>
        <v>nd</v>
      </c>
      <c r="OW20" s="244" t="str">
        <f t="shared" ref="OW20:OW48" ca="1" si="146">IF(OK20=0,"nd",IF(NOT(OR(OK20=$OR20,OK20=$OS20,OK20=$OT20)),"nr",IF(AND(OK20=$OR20,NOT(OV20=1)),1,IF(AND(OK20=$OS20,NOT(OV20=2)),2,IF(AND(OK20=$OT20,NOT(OV20=3)),3)))))</f>
        <v>nd</v>
      </c>
      <c r="OX20" s="244" t="str">
        <f t="shared" ref="OX20:OX48" ca="1" si="147">IF(OL20=0,"nd",IF(NOT(OR(OL20=$OR20,OL20=$OS20,OL20=$OT20)),"nr",IF(AND(OL20=$OR20,NOT(OR(OV20=1,OW20=1))),1,IF(AND(OL20=$OS20,NOT(OR(OV20=2,OW20=2))),2,IF(AND(OL20=$OT20,NOT(OR(OV20=3,OW20=3))),3)))))</f>
        <v>nd</v>
      </c>
      <c r="OY20" s="244" t="str">
        <f t="shared" ref="OY20:OY48" ca="1" si="148">IF(OM20=0,"nd",IF(NOT(OR(OM20=$OR20,OM20=$OS20,OM20=$OT20)),"nr",IF(AND(OM20=$OR20,NOT(OR(OV20=1,OW20=1,OX20=1))),1,IF(AND(OM20=$OS20,NOT(OR(OV20=2,OW20=2,OX20=2))),2,IF(AND(OM20=$OT20,NOT(OR(OV20=3,OW20=3,OX20=3))),3)))))</f>
        <v>nd</v>
      </c>
      <c r="OZ20" s="244" t="str">
        <f t="shared" ref="OZ20:OZ48" ca="1" si="149">IF(ON20=0,"nd",IF(NOT(OR(ON20=$OR20,ON20=$OS20,ON20=$OT20)),"nr",IF(AND(ON20=$OR20,NOT(OR(OV20=1,OW20=1,OX20=1,OY20=1))),1,IF(AND(ON20=$OS20,NOT(OR(OV20=2,OW20=2,OX20=2,OY20=2))),2,IF(AND(ON20=$OT20,NOT(OR(OV20=3,OW20=3,OX20=3,OY20=3))),3)))))</f>
        <v>nd</v>
      </c>
      <c r="PA20" s="202" t="b">
        <f t="shared" ref="PA20:PA48" ca="1" si="150">IF($OV20=PA$14,$OV$14,IF($OW20=PA$14,$OW$14,IF($OX20=PA$14,$OX$14,IF($OY20=PA$14,$OY$14,IF($OZ20=PA$14,$OZ$14)))))</f>
        <v>0</v>
      </c>
      <c r="PB20" s="202">
        <f t="shared" ref="PB20:PB48" ca="1" si="151">IF(AND(OO20=0,OP20=0),1,0)</f>
        <v>1</v>
      </c>
      <c r="PC20" s="202">
        <f t="shared" ref="PC20:PC48" ca="1" si="152">IF(OR(OQ20,PB20),0,1)</f>
        <v>0</v>
      </c>
      <c r="PD20" s="96" t="str">
        <f t="shared" ref="PD20:PD48" ca="1" si="153">IF(PC20,MAX($OJ20:$ON20),"")</f>
        <v/>
      </c>
      <c r="PE20" s="96" t="str">
        <f t="shared" ref="PE20:PE48" ca="1" si="154">IF(PC20,LARGE($OJ20:$ON20,$OS$16),"")</f>
        <v/>
      </c>
      <c r="PF20" s="200">
        <f t="shared" ref="PF20:PF48" ca="1" si="155">IF(AND($PC20,AND($PD20=$PE20,$PD20&lt;&gt;0,$PE20&lt;&gt;0)),1,0)</f>
        <v>0</v>
      </c>
      <c r="PG20" s="202" t="str">
        <f t="shared" ref="PG20:PG48" ca="1" si="156">IF(AND($PC20,AND($OO20=0,$OP20=1)),INDEX($OJ$14:$ON$14,,MATCH($A$2,$OJ20:$ON20,0)),"")</f>
        <v/>
      </c>
      <c r="PH20" s="200" t="str">
        <f t="shared" ref="PH20:PH48" ca="1" si="157">IF(AND($PC20,AND($OO20=1,$OP20=0)),INDEX($OJ$14:$ON$14,,MATCH($PD20,$OJ20:$ON20,0)),"")</f>
        <v/>
      </c>
      <c r="PI20" s="200" t="str">
        <f t="shared" ref="PI20:PI48" ca="1" si="158">IF(AND($PC20,AND($OO20=1,$OP20=1)),INDEX($OJ$14:$ON$14,,MATCH($PD20,$OJ20:$ON20,0)),"")</f>
        <v/>
      </c>
      <c r="PJ20" s="200" t="str">
        <f t="shared" ref="PJ20:PJ48" ca="1" si="159">IF(AND($PC20,AND($OO20=0,$OP20=2)),INDEX($OJ$14:$ON$14,,MATCH($A$2,$OJ20:$ON20,0)),"")</f>
        <v/>
      </c>
      <c r="PK20" s="242" t="str">
        <f t="shared" ref="PK20:PK48" ca="1" si="160">IF(AND($PC20,AND($OO20=2,$OP20=0)),INDEX($OJ$14:$ON$14,,MATCH($PD20,$OJ20:$ON20,0)),"")</f>
        <v/>
      </c>
      <c r="PL20" s="242" t="str">
        <f t="shared" ref="PL20:PL48" ca="1" si="161">IF(SUM($PG20:$PK20)=0,"",SUM($PG20:$PK20))</f>
        <v/>
      </c>
      <c r="PM20" s="242" t="str">
        <f t="shared" ref="PM20:PM48" ca="1" si="162">IF(ISNUMBER($PA20),$PA20,IF(ISNUMBER($PL20),$PL20,""))</f>
        <v/>
      </c>
      <c r="PN20" s="242" t="str">
        <f t="shared" ref="PN20:PN48" ca="1" si="163">IF($PB20,$PM$11,INDEX(INDIRECT($B$4),MATCH($PM20,INDIRECT($B$5),0)))</f>
        <v>Erste Spielsportart</v>
      </c>
      <c r="PO20" s="242" t="str">
        <f ca="1">IF(PN20=$PM$11,Stammdaten!$AY$27,IF(PR20=$A$2,TRIM(Stammdaten!$AX$25),""))</f>
        <v>nicht durchgeführt</v>
      </c>
      <c r="PP20" s="242" t="str">
        <f t="shared" ref="PP20:PP48" ca="1" si="164">IFERROR(INDEX(INDIRECT($PP$2),MATCH(PN20,INDIRECT($B$4),0)),"")</f>
        <v/>
      </c>
      <c r="PQ20" s="202" t="str">
        <f t="shared" ref="PQ20:PQ48" ca="1" si="165">$PN20&amp;$PQ$1&amp;$PQ$2</f>
        <v>Erste SpielsportartResultat[@Resultat]</v>
      </c>
      <c r="PR20" s="98" t="str">
        <f t="shared" ref="PR20:PR48" ca="1" si="166">IFERROR(INDEX(INDIRECT(PQ20),,),"")</f>
        <v/>
      </c>
      <c r="PS20" s="202" t="str">
        <f t="shared" ref="PS20:PS48" ca="1" si="167">IF(ISNUMBER(PR20),IF($PN20=$ON$10,TEXT(PR20,"#"),TEXT(PR20,"#.00")),"")</f>
        <v/>
      </c>
      <c r="PT20" s="202" t="str">
        <f t="shared" ref="PT20:PT48" ca="1" si="168">$PN20&amp;$PT$1&amp;$PT$2</f>
        <v>Erste SpielsportartSkalawert[@[Skala-Wert]]</v>
      </c>
      <c r="PU20" s="98" t="str">
        <f t="shared" ref="PU20:PU48" ca="1" si="169">IFERROR(INDEX(INDIRECT(PT20),,),"")</f>
        <v/>
      </c>
      <c r="PV20" s="202" t="str">
        <f t="shared" ref="PV20:PV48" ca="1" si="170">IF(ISNUMBER(PU20),IF($PN20=$ON$10,TEXT(PU20,"#"),TEXT(PU20,"#.0")),"")</f>
        <v/>
      </c>
      <c r="PW20" s="202" t="str">
        <f t="shared" ref="PW20:PW48" ca="1" si="171">IF(AND($PN20=$ON$10,OR(ISNUMBER(PU20),PO20=$A$3)),INDEX(INDIRECT($PX$1),MATCH($PN20,INDIRECT($B$4),0)),"")</f>
        <v/>
      </c>
      <c r="PX20" s="202" t="str">
        <f t="shared" ref="PX20:PX48" ca="1" si="172">$PX$2&amp;LEFT(PW20,1)&amp;"]"</f>
        <v>StdDisziplinen[MaxTextSt]</v>
      </c>
      <c r="PY20" s="202" t="str">
        <f t="shared" ref="PY20:PY48" ca="1" si="173">IFERROR(INDEX(INDIRECT(PX20),MATCH($PN20,INDIRECT($B$4),0)),"")</f>
        <v/>
      </c>
      <c r="PZ20" s="202" t="b">
        <f t="shared" ref="PZ20:PZ48" ca="1" si="174">IF($OV20=PZ$14,$OV$14,IF($OW20=PZ$14,$OW$14,IF($OX20=PZ$14,$OX$14,IF($OY20=PZ$14,$OY$14,IF($OZ20=PZ$14,$OZ$14)))))</f>
        <v>0</v>
      </c>
      <c r="QA20" s="202" t="str">
        <f t="shared" ref="QA20:QA48" ca="1" si="175">IF(AND($PC20,AND($OO20=1,$OP20=1)),INDEX($OJ$14:$ON$14,,MATCH($A$2,$OJ20:$ON20,0)),"")</f>
        <v/>
      </c>
      <c r="QB20" s="202" t="str">
        <f t="shared" ca="1" si="32"/>
        <v/>
      </c>
      <c r="QC20" s="202" t="str">
        <f t="shared" ref="QC20:QC48" ca="1" si="176">IF(NOT(AND($PC20,AND($OO20=2,$OP20=0))),"",IF(NOT($PF20),INDEX($OJ$14:$ON$14,,MATCH($PE20,$OJ20:$ON20,0)),""))</f>
        <v/>
      </c>
      <c r="QD20" s="202" t="str">
        <f t="shared" ref="QD20:QD48" ca="1" si="177">IF(NOT(AND($PC20,AND($OO20=2,$OP20=0))),"",IF($PF20,IF($PK20=20,INDEX($OK$14:$ON$14,,MATCH($PE20,$OK20:$ON20,0)),IF($PK20=21,INDEX($OL$14:$ON$14,,MATCH($PE20,$OL20:$ON20,0)),IF($PK20=22,INDEX($OM$14:$ON$14,,MATCH($PE20,$OM20:$ON20,0)),IF($PK20=23,INDEX($ON$14,,MATCH($PE20,$ON20,0)),)))),""))</f>
        <v/>
      </c>
      <c r="QE20" s="242" t="str">
        <f t="shared" ref="QE20:QE48" ca="1" si="178">IF(SUM($QA20:$QD20)=0,"",SUM($QA20:$QD20))</f>
        <v/>
      </c>
      <c r="QF20" s="242" t="str">
        <f t="shared" ref="QF20:QF48" ca="1" si="179">IF(ISNUMBER($PZ20),$PZ20,IF(ISNUMBER($QE20),$QE20,""))</f>
        <v/>
      </c>
      <c r="QG20" s="242" t="str">
        <f t="shared" ref="QG20:QG48" ca="1" si="180">IF($PB20,$QF$11,IFERROR(INDEX(INDIRECT($B$4),MATCH($QF20,INDIRECT($B$5),0)),$QF$11))</f>
        <v>Zweite Spielsportart</v>
      </c>
      <c r="QH20" s="242" t="str">
        <f ca="1">IF(QG20=$QF$11,Stammdaten!$AY$27,IF(QK20=$A$2,TRIM(Stammdaten!$AX$25),""))</f>
        <v>nicht durchgeführt</v>
      </c>
      <c r="QI20" s="242" t="str">
        <f t="shared" ref="QI20:QI48" ca="1" si="181">IFERROR(INDEX(INDIRECT($QI$2),MATCH(QG20,INDIRECT($B$4),0)),"")</f>
        <v/>
      </c>
      <c r="QJ20" s="202" t="str">
        <f t="shared" ref="QJ20:QJ48" ca="1" si="182">$QG20&amp;$QJ$1&amp;$QJ$2</f>
        <v>Zweite SpielsportartResultat[@Resultat]</v>
      </c>
      <c r="QK20" s="98" t="str">
        <f t="shared" ref="QK20:QK48" ca="1" si="183">IFERROR(INDEX(INDIRECT(QJ20),,),"")</f>
        <v/>
      </c>
      <c r="QL20" s="202" t="str">
        <f t="shared" ref="QL20:QL48" ca="1" si="184">IF(ISNUMBER(QK20),IF($QG20=$ON$10,TEXT(QK20,"#"),TEXT(QK20,"#.00")),"")</f>
        <v/>
      </c>
      <c r="QM20" s="202" t="str">
        <f t="shared" ref="QM20:QM48" ca="1" si="185">$QG20&amp;$QM$1&amp;$QM$2</f>
        <v>Zweite SpielsportartSkalawert[@[Skala-Wert]]</v>
      </c>
      <c r="QN20" s="98" t="str">
        <f t="shared" ref="QN20:QN48" ca="1" si="186">IFERROR(INDEX(INDIRECT(QM20),,),"")</f>
        <v/>
      </c>
      <c r="QO20" s="202" t="str">
        <f t="shared" ref="QO20:QO48" ca="1" si="187">IF(ISNUMBER(QN20),IF($QG20=$ON$10,TEXT(QN20,"#"),TEXT(QN20,"#.0")),"")</f>
        <v/>
      </c>
      <c r="QP20" s="202" t="str">
        <f t="shared" ref="QP20:QP48" ca="1" si="188">IF(AND($QG20=$ON$10,OR(ISNUMBER(QN20),QH20=$A$3)),INDEX(INDIRECT($QQ$1),MATCH($QG20,INDIRECT($B$4),0)),"")</f>
        <v/>
      </c>
      <c r="QQ20" s="202" t="str">
        <f t="shared" ref="QQ20:QQ48" ca="1" si="189">$QQ$2&amp;LEFT(QP20,1)&amp;"]"</f>
        <v>StdDisziplinen[MaxTextSt]</v>
      </c>
      <c r="QR20" s="202" t="str">
        <f t="shared" ref="QR20:QR48" ca="1" si="190">IFERROR(INDEX(INDIRECT(QQ20),MATCH($QG20,INDIRECT($B$4),0)),"")</f>
        <v/>
      </c>
      <c r="QS20" s="202" t="b">
        <f t="shared" ref="QS20:QS48" ca="1" si="191">IF($OV20=QS$14,$OV$14,IF($OW20=QS$14,$OW$14,IF($OX20=QS$14,$OX$14,IF($OY20=QS$14,$OY$14,IF($OZ20=QS$14,$OZ$14)))))</f>
        <v>0</v>
      </c>
      <c r="QT20" s="242" t="str">
        <f t="shared" ca="1" si="33"/>
        <v>Dritte Spielsportart</v>
      </c>
      <c r="QU20" s="242" t="str">
        <f ca="1">IF(QT20=$QT$11,MID(Stammdaten!$AX$27,2,LEN(Stammdaten!$AX$27)),IF(QX20=$A$2,TRIM(Stammdaten!$AX$25),""))</f>
        <v>nicht durchgeführt</v>
      </c>
      <c r="QV20" s="242" t="str">
        <f t="shared" ca="1" si="34"/>
        <v/>
      </c>
      <c r="QW20" s="202" t="str">
        <f t="shared" ref="QW20:QW48" ca="1" si="192">$QT20&amp;$QW$1&amp;$QW$2</f>
        <v>Dritte SpielsportartResultat[@Resultat]</v>
      </c>
      <c r="QX20" s="98" t="str">
        <f t="shared" ref="QX20:QX48" ca="1" si="193">IFERROR(INDEX(INDIRECT(QW20),,),"")</f>
        <v/>
      </c>
      <c r="QY20" s="202" t="str">
        <f t="shared" ca="1" si="35"/>
        <v/>
      </c>
      <c r="QZ20" s="202" t="str">
        <f t="shared" ref="QZ20:QZ48" ca="1" si="194">$QT20&amp;$QZ$1&amp;$QZ$2</f>
        <v>Dritte SpielsportartSkalawert[@[Skala-Wert]]</v>
      </c>
      <c r="RA20" s="98" t="str">
        <f t="shared" ref="RA20:RA28" ca="1" si="195">IFERROR(INDEX(INDIRECT(QZ20),,),"")</f>
        <v/>
      </c>
      <c r="RB20" s="202" t="str">
        <f t="shared" ca="1" si="36"/>
        <v/>
      </c>
      <c r="RC20" s="202" t="str">
        <f t="shared" ref="RC20:RC48" ca="1" si="196">IF(AND($QT20=$ON$10,OR(ISNUMBER(RA20),QU20=$A$3)),INDEX(INDIRECT($RD$1),MATCH($QT20,INDIRECT($B$4),0)),"")</f>
        <v/>
      </c>
      <c r="RD20" s="202" t="str">
        <f t="shared" ref="RD20:RD48" ca="1" si="197">$RD$2&amp;LEFT(RC20,1)&amp;"]"</f>
        <v>StdDisziplinen[MaxTextSt]</v>
      </c>
      <c r="RE20" s="202" t="str">
        <f t="shared" ca="1" si="37"/>
        <v/>
      </c>
      <c r="RF20" s="244">
        <f t="shared" ca="1" si="38"/>
        <v>99</v>
      </c>
      <c r="RG20" s="244">
        <f t="shared" ca="1" si="39"/>
        <v>99</v>
      </c>
      <c r="RH20" s="244">
        <f t="shared" ca="1" si="40"/>
        <v>99</v>
      </c>
      <c r="RI20" s="244">
        <f t="shared" ca="1" si="41"/>
        <v>99</v>
      </c>
      <c r="RJ20" s="244">
        <f t="shared" ca="1" si="42"/>
        <v>99</v>
      </c>
      <c r="RK20" s="244">
        <f t="shared" ref="RK20:RK48" ca="1" si="198">IF(OR(RF20=99,RF20=FALSE),99,IF(RF20=1,$OR20,IF(RF20=2,$OS20,$OT20)))</f>
        <v>99</v>
      </c>
      <c r="RL20" s="244">
        <f t="shared" ref="RL20:RL48" ca="1" si="199">IF(OR(RG20=99,RG20=FALSE),99,IF(RG20=1,$OR20,IF(RG20=2,$OS20,$OT20)))</f>
        <v>99</v>
      </c>
      <c r="RM20" s="244">
        <f t="shared" ref="RM20:RM48" ca="1" si="200">IF(OR(RH20=99,RH20=FALSE),99,IF(RH20=1,$OR20,IF(RH20=2,$OS20,$OT20)))</f>
        <v>99</v>
      </c>
      <c r="RN20" s="244">
        <f t="shared" ref="RN20:RN48" ca="1" si="201">IF(OR(RI20=99,RI20=FALSE),99,IF(RI20=1,$OR20,IF(RI20=2,$OS20,$OT20)))</f>
        <v>99</v>
      </c>
      <c r="RO20" s="244">
        <f t="shared" ref="RO20:RO48" ca="1" si="202">IF(OR(RJ20=99,RJ20=FALSE),99,IF(RJ20=1,$OR20,IF(RJ20=2,$OS20,$OT20)))</f>
        <v>99</v>
      </c>
      <c r="RP20" s="202" t="str">
        <f t="shared" ca="1" si="43"/>
        <v>Zu wenige Noten</v>
      </c>
      <c r="RQ20" s="202" t="str">
        <f t="shared" ref="RQ20:RR48" ca="1" si="203">IFERROR(REPLACE(RP20,FIND(99,RP20,1),6,""),RP20)</f>
        <v>Zu wenige Noten</v>
      </c>
      <c r="RR20" s="202" t="str">
        <f t="shared" ca="1" si="203"/>
        <v>Zu wenige Noten</v>
      </c>
      <c r="RS20" s="202" t="str">
        <f t="shared" ref="RS20:RT48" ca="1" si="204">IFERROR(REPLACE(RR20,FIND(99,RR20,1),6,""),RR20)</f>
        <v>Zu wenige Noten</v>
      </c>
      <c r="RT20" s="202" t="str">
        <f t="shared" ca="1" si="204"/>
        <v>Zu wenige Noten</v>
      </c>
      <c r="RU20" s="202" t="str">
        <f t="shared" ref="RU20:RU48" ca="1" si="205">IF(RIGHT(RT20,2)=", ",MID(RT20,1,LEN(RT20)-2),RT20)</f>
        <v>Zu wenige Noten</v>
      </c>
      <c r="RV20" s="202" t="str">
        <f t="shared" ref="RV20:RV48" ca="1" si="206">RU20</f>
        <v>Zu wenige Noten</v>
      </c>
      <c r="RW20" s="31"/>
      <c r="RX20" s="56" t="str">
        <f t="shared" ca="1" si="44"/>
        <v>Zu wenige Noten</v>
      </c>
      <c r="RY20" s="31"/>
      <c r="RZ20" s="31" t="str">
        <f t="shared" ca="1" si="45"/>
        <v>Zu wenige Noten</v>
      </c>
      <c r="SA20" s="31" t="str">
        <f t="shared" ca="1" si="46"/>
        <v>Zu wenige Noten</v>
      </c>
      <c r="SB20" s="45" t="str">
        <f t="shared" ca="1" si="47"/>
        <v>Zu wenige Noten</v>
      </c>
      <c r="SC20" s="31" t="str">
        <f t="shared" ref="SC20:SC48" ca="1" si="207">RX20</f>
        <v>Zu wenige Noten</v>
      </c>
      <c r="SD20" s="31" t="str">
        <f t="shared" ref="SD20:SD48" ca="1" si="208">TEXT(RZ20,"#.0")</f>
        <v>Zu wenige Noten</v>
      </c>
      <c r="SE20" s="31" t="str">
        <f t="shared" ca="1" si="48"/>
        <v>Zu wenige Noten</v>
      </c>
      <c r="SF20" s="31" t="str">
        <f t="shared" ref="SF20:SF48" ca="1" si="209">IF(RIGHT(TEXT(SB20,"#.00"),1)="5",TEXT(SB20,"#.00"),IF(RIGHT(TEXT(SB20,"#.00"),2)="00",TEXT(SB20,"#"),TEXT(SB20,"#.0")))</f>
        <v>Zu wenige Noten</v>
      </c>
      <c r="SG20" s="31" t="str">
        <f t="shared" ca="1" si="48"/>
        <v>Zu wenige Noten</v>
      </c>
      <c r="SH20" s="36">
        <f t="shared" ref="SH20:SH48" ca="1" si="210">ISNUMBER(RZ20)+ISNUMBER(SA20)+ISNUMBER(SB20)+ISNUMBER(SC20)</f>
        <v>0</v>
      </c>
      <c r="SI20" s="36">
        <f t="shared" ref="SI20:SI48" ca="1" si="211">COUNTIF(RZ20:SC20,$A$3)</f>
        <v>0</v>
      </c>
      <c r="SJ20" s="36">
        <f t="shared" ref="SJ20:SJ48" ca="1" si="212">IF((SH20+SI20)&lt;$SJ$13,0,1)</f>
        <v>0</v>
      </c>
      <c r="SK20" s="31">
        <f t="shared" ref="SK20:SK48" ca="1" si="213">IF(NOT(ISNUMBER(RZ20)),99,RZ20)</f>
        <v>99</v>
      </c>
      <c r="SL20" s="31">
        <f t="shared" ref="SL20:SL48" ca="1" si="214">IF(NOT(ISNUMBER(SA20)),99,SA20)</f>
        <v>99</v>
      </c>
      <c r="SM20" s="36" t="str">
        <f t="shared" ref="SM20:SM48" ca="1" si="215">IF(NOT(ISNUMBER(SB20)),"99.0",SB20)</f>
        <v>99.0</v>
      </c>
      <c r="SN20" s="31">
        <f t="shared" ref="SN20:SN48" ca="1" si="216">IF(NOT(ISNUMBER(SC20)),99,SC20)</f>
        <v>99</v>
      </c>
      <c r="SO20" s="36" t="str">
        <f ca="1">IF(NOT(SJ20),INDEX(StdFehler[StdFehler],4),IF(SI20=$SJ$13,$A$3,CONCATENATE(TEXT(SK20,"#.0"),", ",TEXT(SL20,"#.0"),", ",SM20,", ",TEXT(SN20,"#.0"))))</f>
        <v>Zu wenige Noten</v>
      </c>
      <c r="SP20" s="36" t="str">
        <f t="shared" ca="1" si="49"/>
        <v>Zu wenige Noten</v>
      </c>
      <c r="SQ20" s="36" t="str">
        <f t="shared" ca="1" si="49"/>
        <v>Zu wenige Noten</v>
      </c>
      <c r="SR20" s="36" t="str">
        <f t="shared" ca="1" si="49"/>
        <v>Zu wenige Noten</v>
      </c>
      <c r="SS20" s="36" t="str">
        <f t="shared" ca="1" si="49"/>
        <v>Zu wenige Noten</v>
      </c>
      <c r="ST20" s="36" t="str">
        <f t="shared" ref="ST20:ST48" ca="1" si="217">IF(RIGHT(SS20,2)=", ",MID(SS20,1,LEN(SS20)-2),SS20)</f>
        <v>Zu wenige Noten</v>
      </c>
      <c r="SU20" s="36"/>
      <c r="SV20" s="214" t="str">
        <f t="shared" ref="SV20:SV48" si="218">$A$2</f>
        <v>D</v>
      </c>
      <c r="SW20" s="36"/>
      <c r="SX20" s="214" t="str">
        <f t="shared" ref="SX20:SX48" si="219">$A$2</f>
        <v>D</v>
      </c>
      <c r="SY20" s="36"/>
      <c r="SZ20" s="214" t="str">
        <f t="shared" ref="SZ20:SZ48" si="220">$A$2</f>
        <v>D</v>
      </c>
      <c r="TA20" s="36"/>
      <c r="TB20" s="214" t="str">
        <f t="shared" ref="TB20:TB48" si="221">$A$2</f>
        <v>D</v>
      </c>
      <c r="TC20" s="31"/>
      <c r="TD20" s="36" t="str">
        <f t="shared" ref="TD20:TD48" ca="1" si="222">ST20</f>
        <v>Zu wenige Noten</v>
      </c>
      <c r="TE20" s="31"/>
      <c r="TF20" s="193" t="str">
        <f ca="1">IF(NOT(SJ20),INDEX(StdFehler[StdFehler],4),IF(SI20=$TF$4,$A$3,ROUND(AVERAGE(RZ20:SC20)/$TF$5,0)*$TF$5))</f>
        <v>Zu wenige Noten</v>
      </c>
      <c r="TG20" s="32"/>
      <c r="TH20" s="594" t="str">
        <f>IF(OR($TH$18=Stammdaten!$AX$20,$TH$18=""),Stammdaten!$AX$20,$TH$18)</f>
        <v>Disziplin</v>
      </c>
      <c r="TI20" s="33"/>
      <c r="TJ20" s="33" t="str">
        <f>IF(OR(Geschlecht[[#This Row],[Geschlecht (Skala)]]="",TH20="",TH20=Stammdaten!$AX$20),"",REPLACE(INDEX(StdDisziplinen[TabÜberschriftResultat],TH$3),FIND("XX",INDEX(StdDisziplinen[TabÜberschriftResultat],TH$3),1),2,Geschlecht[[#This Row],[Geschlecht (Skala)]]))</f>
        <v/>
      </c>
      <c r="TK20" s="596"/>
      <c r="TM20" s="37"/>
      <c r="TN20" s="40"/>
      <c r="TO20" s="587">
        <f>IF(TO$16,IF(TP$16=0.5,MROUND(SchwimmenResultat[[#This Row],[Resultat]],TP$16),ROUND(SchwimmenResultat[[#This Row],[Resultat]],TP$16)),ROUNDDOWN(SchwimmenResultat[[#This Row],[Resultat]],TP$16))</f>
        <v>0</v>
      </c>
      <c r="TP20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0" s="153" t="str">
        <f ca="1">IF(TP20="","",IF(OR(SchwimmenResultat[[#This Row],[Resultat]]=Stammdaten!$AX$22,SchwimmenResultat[[#This Row],[Resultat]]=Stammdaten!$AX$19),Stammdaten!$AX$19,IF(ISNA(INDEX(INDIRECT(TP20),MATCH(SchwimmenGerundet[[#This Row],[Rundung]],INDIRECT(TP20),TP$18))),IF(TP$18=-1,LARGE(INDIRECT(TP20),1),SMALL(INDIRECT(TP20),1)),INDEX(INDIRECT(TP20),MATCH(SchwimmenGerundet[[#This Row],[Rundung]],INDIRECT(TP20),TP$18)))))</f>
        <v/>
      </c>
      <c r="TS20" s="33" t="str">
        <f>IF(OR(TP20="",SchwimmenResultat[[#This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T20" s="36" t="str">
        <f ca="1">IF(OR(TS20="",SchwimmenSkalawert[[#This Row],[Skala-Wert]]=Stammdaten!$AX$19),"",INDEX(INDIRECT(TS20),MATCH(SchwimmenSkalawert[[#This Row],[Skala-Wert]],INDIRECT(TP20),0)))</f>
        <v/>
      </c>
      <c r="TU20" s="36"/>
      <c r="TV20" s="190" t="str">
        <f>IF(ZwölfMinLaufHalleResultat[[#This Row],[Resultat]]=0,"",ZwölfMinLaufHalleResultat[[#This Row],[Resultat]])</f>
        <v/>
      </c>
      <c r="TW20" s="190"/>
      <c r="TX20" s="31" t="str">
        <f ca="1">ZwölfMinLaufHalleSkalawert[[#This Row],[Skala-Wert]]</f>
        <v/>
      </c>
      <c r="TZ20" s="31" t="str">
        <f ca="1">ZwölfMinLaufHalleNote[[#This Row],[Note]]</f>
        <v/>
      </c>
      <c r="UA20" s="31"/>
      <c r="UB20" s="190" t="str">
        <f>IF(ZwölfMinLaufimFreienResultat[[#This Row],[Resultat]]=0,"",ZwölfMinLaufimFreienResultat[[#This Row],[Resultat]])</f>
        <v/>
      </c>
      <c r="UC20" s="190"/>
      <c r="UD20" s="192" t="str">
        <f ca="1">ZwölfMinLaufimFreienSkalawert[[#This Row],[Skala-Wert]]</f>
        <v/>
      </c>
      <c r="UF20" s="31" t="str">
        <f ca="1">ZwölfMinLaufimFreienNote[[#This Row],[Note]]</f>
        <v/>
      </c>
      <c r="UG20" s="31"/>
      <c r="UH20" s="597"/>
      <c r="UI20" s="190"/>
      <c r="UJ20" s="587">
        <f>IF(UJ$16,IF(UK$16=0.5,MROUND(BeweglichkeitResultat[[#This Row],[Resultat]],UK$16),ROUND(BeweglichkeitResultat[[#This Row],[Resultat]],UK$16)),ROUNDDOWN(BeweglichkeitResultat[[#This Row],[Resultat]],UK$16))</f>
        <v>0</v>
      </c>
      <c r="UK20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0" s="192" t="str">
        <f ca="1">IF(UK20="","",IF(OR(BeweglichkeitResultat[[#This Row],[Resultat]]=Stammdaten!$AX$22,BeweglichkeitResultat[[#This Row],[Resultat]]=Stammdaten!$AX$19),Stammdaten!$AX$19,IF(ISNA(INDEX(INDIRECT(UK20),MATCH(BeweglichkeitGerundet[[#This Row],[Rundung]],INDIRECT(UK20),UK$18))),IF(UK$18=-1,LARGE(INDIRECT(UK20),1),SMALL(INDIRECT(UK20),1)),INDEX(INDIRECT(UK20),MATCH(BeweglichkeitGerundet[[#This Row],[Rundung]],INDIRECT(UK20),UK$18)))))</f>
        <v/>
      </c>
      <c r="UN20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0" s="36" t="str">
        <f ca="1">IF(OR(UK20="",BeweglichkeitSkalawert[[#This Row],[Skala-Wert]]=Stammdaten!$AX$19),"",INDEX(INDIRECT(UN20),MATCH(BeweglichkeitSkalawert[[#This Row],[Skala-Wert]],INDIRECT(UK20),0)))</f>
        <v/>
      </c>
      <c r="UP20" s="31"/>
      <c r="UQ20" s="597"/>
      <c r="UR20" s="190"/>
      <c r="US20" s="587">
        <f>IF(US$16,IF(UT$16=0.5,MROUND(RumpfkraftResultat[[#This Row],[Resultat]],UT$16),ROUND(RumpfkraftResultat[[#This Row],[Resultat]],UT$16)),ROUNDDOWN(RumpfkraftResultat[[#This Row],[Resultat]],UT$16))</f>
        <v>0</v>
      </c>
      <c r="UT20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0" s="192" t="str">
        <f ca="1">IF(UT20="","",IF(OR(RumpfkraftResultat[[#This Row],[Resultat]]=Stammdaten!$AX$22,RumpfkraftResultat[[#This Row],[Resultat]]=Stammdaten!$AX$19),Stammdaten!$AX$19,IF(ISNA(INDEX(INDIRECT(UT20),MATCH(RumpfkraftGerundet[[#This Row],[Rundung]],INDIRECT(UT20),UT$18))),IF(UT$18=-1,LARGE(INDIRECT(UT20),1),SMALL(INDIRECT(UT20),1)),INDEX(INDIRECT(UT20),MATCH(RumpfkraftGerundet[[#This Row],[Rundung]],INDIRECT(UT20),UT$18)))))</f>
        <v/>
      </c>
      <c r="UW20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0" s="36" t="str">
        <f ca="1">IF(OR(UT20="",RumpfkraftSkalawert[[#This Row],[Skala-Wert]]=Stammdaten!$AX$19),"",INDEX(INDIRECT(UW20),MATCH(RumpfkraftSkalawert[[#This Row],[Skala-Wert]],INDIRECT(UT20),0)))</f>
        <v/>
      </c>
      <c r="UY20" s="31"/>
      <c r="UZ20" s="190" t="str">
        <f>IF(SechzigmLaufResultat[[#This Row],[Resultat]]=0,"",SechzigmLaufResultat[[#This Row],[Resultat]])</f>
        <v/>
      </c>
      <c r="VA20" s="190"/>
      <c r="VB20" s="45" t="str">
        <f ca="1">SechzigmLaufSkalawert[[#This Row],[Skala-Wert]]</f>
        <v/>
      </c>
      <c r="VD20" s="31" t="str">
        <f ca="1">SechzigmLaufNote[[#This Row],[Note]]</f>
        <v/>
      </c>
      <c r="VE20" s="31"/>
      <c r="VF20" s="190" t="str">
        <f>IF(AchtzigmLaufResultat[[#This Row],[Resultat]]=0,"",AchtzigmLaufResultat[[#This Row],[Resultat]])</f>
        <v/>
      </c>
      <c r="VG20" s="190"/>
      <c r="VH20" s="45" t="str">
        <f ca="1">AchtzigmLaufSkalawert[[#This Row],[Skala-Wert]]</f>
        <v/>
      </c>
      <c r="VJ20" s="31" t="str">
        <f ca="1">AchtzigmLaufNote[[#This Row],[Note]]</f>
        <v/>
      </c>
      <c r="VK20" s="31"/>
      <c r="VL20" s="37"/>
      <c r="VM20" s="190"/>
      <c r="VN20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0" s="191" t="str">
        <f>IF(OR(Geschlecht[[#This Row],[Geschlecht (Skala)]]="",VL$16=""),"",MID(Geschlecht[[#This Row],[Geschlecht (Skala)]],1,1)&amp;MID(VL$16,1,1))</f>
        <v/>
      </c>
      <c r="VP20" s="190" t="str">
        <f>IF(OR(VO20="",KonditionsparcoursResultat[[#This Row],[Resultat]]=""),"",REPLACE(INDEX(StdDisziplinen[TabÜberschriftResultat],VL$3),FIND("X",INDEX(StdDisziplinen[TabÜberschriftResultat],VL$3),1),2,VO20))</f>
        <v/>
      </c>
      <c r="VQ20" s="192" t="str">
        <f ca="1">IF(VP20="","",IF(OR(KonditionsparcoursResultat[[#This Row],[Resultat]]=Stammdaten!$AX$22,KonditionsparcoursResultat[[#This Row],[Resultat]]=Stammdaten!$AX$19),Stammdaten!$AX$19,IF(ISNA(INDEX(INDIRECT(VP20),MATCH(KonditionsparcoursGerundet[[#This Row],[Rundung]],INDIRECT(VP20),VP$18))),IF(VP$18=-1,LARGE(INDIRECT(VP20),1),SMALL(INDIRECT(VP20),1)),INDEX(INDIRECT(VP20),MATCH(KonditionsparcoursGerundet[[#This Row],[Rundung]],INDIRECT(VP20),VP$18)))))</f>
        <v/>
      </c>
      <c r="VS20" s="18" t="str">
        <f ca="1">IF(KonditionsparcoursSkalawert[[#This Row],[Skala-Wert]]="","",REPLACE(INDEX(StdDisziplinen[TabÜberschriftNote],VL$3),FIND("X",INDEX(StdDisziplinen[TabÜberschriftNote],VL$3),1),2,VO20))</f>
        <v/>
      </c>
      <c r="VT20" s="31" t="str">
        <f ca="1">IF(OR(VS20="",KonditionsparcoursSkalawert[[#This Row],[Skala-Wert]]=Stammdaten!$AX$19),"",INDEX(INDIRECT(VS20),MATCH(KonditionsparcoursSkalawert[[#This Row],[Skala-Wert]],INDIRECT(VP20),0)))</f>
        <v/>
      </c>
      <c r="VU20" s="22"/>
    </row>
    <row r="21" spans="1:593" x14ac:dyDescent="0.3">
      <c r="A21" s="30">
        <v>3</v>
      </c>
      <c r="B21" s="589"/>
      <c r="C21" s="589"/>
      <c r="E21" s="591"/>
      <c r="G21" s="37"/>
      <c r="H21" s="190"/>
      <c r="I21" s="154">
        <f>IF(I$16,IF(J$16=0.5,MROUND(SechzigmLaufResultat[[#This Row],[Resultat]],J$16),ROUND(SechzigmLaufResultat[[#This Row],[Resultat]],J$16)),ROUNDDOWN(SechzigmLaufResultat[[#This Row],[Resultat]],J$16))</f>
        <v>0</v>
      </c>
      <c r="J21" s="191" t="str">
        <f>IF(OR(Geschlecht[[#This Row],[Geschlecht (Skala)]]="",G$16=""),"",MID(Geschlecht[[#This Row],[Geschlecht (Skala)]],1,1)&amp;MID(G$16,1,1))</f>
        <v/>
      </c>
      <c r="K21" s="190" t="str">
        <f>IF(OR(J21="",SechzigmLaufResultat[[#This Row],[Resultat]]=""),"",REPLACE(INDEX(StdDisziplinen[TabÜberschriftResultat],G$3),FIND("X",INDEX(StdDisziplinen[TabÜberschriftResultat],G$3),1),2,J21))</f>
        <v/>
      </c>
      <c r="L21" s="45" t="str">
        <f ca="1">IF(K21="","",IF(OR(SechzigmLaufResultat[[#This Row],[Resultat]]=Stammdaten!$AX$22,SechzigmLaufResultat[[#This Row],[Resultat]]=Stammdaten!$AX$19),Stammdaten!$AX$19,IF(ISNA(INDEX(INDIRECT(K21),MATCH(SechzigmLaufGerundet[[#This Row],[Rundung]],INDIRECT(K21),K$18))),IF(K$18=-1,LARGE(INDIRECT(K21),1),SMALL(INDIRECT(K21),1)),INDEX(INDIRECT(K21),MATCH(SechzigmLaufGerundet[[#This Row],[Rundung]],INDIRECT(K21),K$18)))))</f>
        <v/>
      </c>
      <c r="N21" s="18" t="str">
        <f ca="1">IF(SechzigmLaufSkalawert[[#This Row],[Skala-Wert]]="","",REPLACE(INDEX(StdDisziplinen[TabÜberschriftNote],G$3),FIND("X",INDEX(StdDisziplinen[TabÜberschriftNote],G$3),1),2,J21))</f>
        <v/>
      </c>
      <c r="O21" s="31" t="str">
        <f ca="1">IF(OR(N21="",SechzigmLaufSkalawert[[#This Row],[Skala-Wert]]=Stammdaten!$AX$19),"",INDEX(INDIRECT(N21),MATCH(SechzigmLaufSkalawert[[#This Row],[Skala-Wert]],INDIRECT(K21),0)))</f>
        <v/>
      </c>
      <c r="P21" s="31"/>
      <c r="Q21" s="37"/>
      <c r="R21" s="190"/>
      <c r="S21" s="154">
        <f>IF(S$16,IF(T$16=0.5,MROUND(AchtzigmLaufResultat[[#This Row],[Resultat]],T$16),ROUND(AchtzigmLaufResultat[[#This Row],[Resultat]],T$16)),ROUNDDOWN(AchtzigmLaufResultat[[#This Row],[Resultat]],T$16))</f>
        <v>0</v>
      </c>
      <c r="T21" s="191" t="str">
        <f>IF(OR(Geschlecht[[#This Row],[Geschlecht (Skala)]]="",Q$16=""),"",MID(Geschlecht[[#This Row],[Geschlecht (Skala)]],1,1)&amp;MID(Q$16,1,1))</f>
        <v/>
      </c>
      <c r="U21" s="190" t="str">
        <f>IF(OR(T21="",AchtzigmLaufResultat[[#This Row],[Resultat]]=""),"",REPLACE(INDEX(StdDisziplinen[TabÜberschriftResultat],Q$3),FIND("X",INDEX(StdDisziplinen[TabÜberschriftResultat],Q$3),1),2,T21))</f>
        <v/>
      </c>
      <c r="V21" s="45" t="str">
        <f ca="1">IF(U21="","",IF(OR(AchtzigmLaufResultat[[#This Row],[Resultat]]=Stammdaten!$AX$22,AchtzigmLaufResultat[[#This Row],[Resultat]]=Stammdaten!$AX$19),Stammdaten!$AX$19,IF(ISNA(INDEX(INDIRECT(U21),MATCH(AchtzigmLaufGerundet[[#This Row],[Rundung]],INDIRECT(U21),U$18))),IF(U$18=-1,LARGE(INDIRECT(U21),1),SMALL(INDIRECT(U21),1)),INDEX(INDIRECT(U21),MATCH(AchtzigmLaufGerundet[[#This Row],[Rundung]],INDIRECT(U21),U$18)))))</f>
        <v/>
      </c>
      <c r="X21" s="18" t="str">
        <f ca="1">IF(AchtzigmLaufSkalawert[[#This Row],[Skala-Wert]]="","",REPLACE(INDEX(StdDisziplinen[TabÜberschriftNote],Q$3),FIND("X",INDEX(StdDisziplinen[TabÜberschriftNote],Q$3),1),2,T21))</f>
        <v/>
      </c>
      <c r="Y21" s="31" t="str">
        <f ca="1">IF(OR(X21="",AchtzigmLaufSkalawert[[#This Row],[Skala-Wert]]=Stammdaten!$AX$19),"",INDEX(INDIRECT(X21),MATCH(AchtzigmLaufSkalawert[[#This Row],[Skala-Wert]],INDIRECT(U21),0)))</f>
        <v/>
      </c>
      <c r="Z21" s="31"/>
      <c r="AA21" s="37"/>
      <c r="AB21" s="190"/>
      <c r="AC21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1" s="191" t="str">
        <f>IF(OR(Geschlecht[[#This Row],[Geschlecht (Skala)]]="",AA$16=""),"",MID(Geschlecht[[#This Row],[Geschlecht (Skala)]],1,1)&amp;MID(AA$16,1,1))</f>
        <v/>
      </c>
      <c r="AE21" s="190" t="str">
        <f>IF(OR(AD21="",ZwölfMinLaufHalleResultat[[#This Row],[Resultat]]=""),"",REPLACE(INDEX(StdDisziplinen[TabÜberschriftResultat],AA$3),FIND("X",INDEX(StdDisziplinen[TabÜberschriftResultat],AA$3),1),2,AD21))</f>
        <v/>
      </c>
      <c r="AF21" s="31" t="str">
        <f ca="1">IF(AE21="","",IF(OR(ZwölfMinLaufHalleResultat[[#This Row],[Resultat]]=Stammdaten!$AX$22,ZwölfMinLaufHalleResultat[[#This Row],[Resultat]]=Stammdaten!$AX$19),Stammdaten!$AX$19,IF(ISNA(INDEX(INDIRECT(AE21),MATCH(ZwölfMinLaufHalleGerundet[[#This Row],[Rundung]],INDIRECT(AE21),AE$18))),IF(AE$18=-1,LARGE(INDIRECT(AE21),1),SMALL(INDIRECT(AE21),1)),INDEX(INDIRECT(AE21),MATCH(ZwölfMinLaufHalleGerundet[[#This Row],[Rundung]],INDIRECT(AE21),AE$18)))))</f>
        <v/>
      </c>
      <c r="AH21" s="18" t="str">
        <f ca="1">IF(ZwölfMinLaufHalleSkalawert[[#This Row],[Skala-Wert]]="","",REPLACE(INDEX(StdDisziplinen[TabÜberschriftNote],AA$3),FIND("X",INDEX(StdDisziplinen[TabÜberschriftNote],AA$3),1),2,AD21))</f>
        <v/>
      </c>
      <c r="AI21" s="31" t="str">
        <f ca="1">IF(OR(AH21="",ZwölfMinLaufHalleSkalawert[[#This Row],[Skala-Wert]]=Stammdaten!$AX$19),"",INDEX(INDIRECT(AH21),MATCH(ZwölfMinLaufHalleSkalawert[[#This Row],[Skala-Wert]],INDIRECT(AE21),0)))</f>
        <v/>
      </c>
      <c r="AJ21" s="31"/>
      <c r="AK21" s="597"/>
      <c r="AL21" s="190"/>
      <c r="AM21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1" s="191" t="str">
        <f>IF(OR(Geschlecht[[#This Row],[Geschlecht (Skala)]]="",AK$16=""),"",MID(Geschlecht[[#This Row],[Geschlecht (Skala)]],1,1)&amp;MID(AK$16,1,1))</f>
        <v/>
      </c>
      <c r="AO21" s="190" t="str">
        <f>IF(OR(AN21="",ZwölfMinLaufimFreienResultat[[#This Row],[Resultat]]=""),"",REPLACE(INDEX(StdDisziplinen[TabÜberschriftResultat],AK$3),FIND("X",INDEX(StdDisziplinen[TabÜberschriftResultat],AK$3),1),2,AN21))</f>
        <v/>
      </c>
      <c r="AP21" s="192" t="str">
        <f ca="1">IF(AO21="","",IF(OR(ZwölfMinLaufimFreienResultat[[#This Row],[Resultat]]=Stammdaten!$AX$22,ZwölfMinLaufimFreienResultat[[#This Row],[Resultat]]=Stammdaten!$AX$19),Stammdaten!$AX$19,IF(ISNA(INDEX(INDIRECT(AO21),MATCH(ZwölfMinLaufimFreienGerundet[[#This Row],[Rundung]],INDIRECT(AO21),AO$18))),IF(AO$18=-1,LARGE(INDIRECT(AO21),1),SMALL(INDIRECT(AO21),1)),INDEX(INDIRECT(AO21),MATCH(ZwölfMinLaufimFreienGerundet[[#This Row],[Rundung]],INDIRECT(AO21),AO$18)))))</f>
        <v/>
      </c>
      <c r="AR21" s="18" t="str">
        <f ca="1">IF(ZwölfMinLaufimFreienSkalawert[[#This Row],[Skala-Wert]]="","",REPLACE(INDEX(StdDisziplinen[TabÜberschriftNote],AK$3),FIND("X",INDEX(StdDisziplinen[TabÜberschriftNote],AK$3),1),2,AN21))</f>
        <v/>
      </c>
      <c r="AS21" s="31" t="str">
        <f ca="1">IF(OR(AR21="",ZwölfMinLaufimFreienSkalawert[[#This Row],[Skala-Wert]]=Stammdaten!$AX$19),"",INDEX(INDIRECT(AR21),MATCH(ZwölfMinLaufimFreienSkalawert[[#This Row],[Skala-Wert]],INDIRECT(AO21),0)))</f>
        <v/>
      </c>
      <c r="AT21" s="31"/>
      <c r="AU21" s="597"/>
      <c r="AV21" s="190"/>
      <c r="AW21" s="587">
        <f>IF(AW$16,IF(AX$16=0.5,MROUND(HochsprungResultat[[#This Row],[Resultat]],AX$16),ROUND(HochsprungResultat[[#This Row],[Resultat]],AX$16)),ROUNDDOWN(HochsprungResultat[[#This Row],[Resultat]],AX$16))</f>
        <v>0</v>
      </c>
      <c r="AX21" s="191" t="str">
        <f>IF(OR(Geschlecht[[#This Row],[Geschlecht (Skala)]]="",AU$16=""),"",MID(Geschlecht[[#This Row],[Geschlecht (Skala)]],1,1)&amp;MID(AU$16,1,1))</f>
        <v/>
      </c>
      <c r="AY21" s="190" t="str">
        <f>IF(OR(AX21="",HochsprungResultat[[#This Row],[Resultat]]=""),"",REPLACE(INDEX(StdDisziplinen[TabÜberschriftResultat],AU$3),FIND("X",INDEX(StdDisziplinen[TabÜberschriftResultat],AU$3),1),2,AX21))</f>
        <v/>
      </c>
      <c r="AZ21" s="192" t="str">
        <f ca="1">IF(AY21="","",IF(OR(HochsprungResultat[[#This Row],[Resultat]]=Stammdaten!$AX$22,HochsprungResultat[[#This Row],[Resultat]]=Stammdaten!$AX$19),Stammdaten!$AX$19,IF(ISNA(INDEX(INDIRECT(AY21),MATCH(HochsprungGerundet[[#This Row],[Rundung]],INDIRECT(AY21),AY$18))),IF(AY$18=-1,LARGE(INDIRECT(AY21),1),SMALL(INDIRECT(AY21),1)),INDEX(INDIRECT(AY21),MATCH(HochsprungGerundet[[#This Row],[Rundung]],INDIRECT(AY21),AY$18)))))</f>
        <v/>
      </c>
      <c r="BB21" s="18" t="str">
        <f ca="1">IF(HochsprungSkalawert[[#This Row],[Skala-Wert]]="","",REPLACE(INDEX(StdDisziplinen[TabÜberschriftNote],AU$3),FIND("X",INDEX(StdDisziplinen[TabÜberschriftNote],AU$3),1),2,AX21))</f>
        <v/>
      </c>
      <c r="BC21" s="31" t="str">
        <f ca="1">IF(OR(BB21="",HochsprungSkalawert[[#This Row],[Skala-Wert]]=Stammdaten!$AX$19),"",INDEX(INDIRECT(BB21),MATCH(HochsprungSkalawert[[#This Row],[Skala-Wert]],INDIRECT(AY21),0)))</f>
        <v/>
      </c>
      <c r="BD21" s="31"/>
      <c r="BE21" s="597"/>
      <c r="BF21" s="190"/>
      <c r="BG21" s="587">
        <f>IF(BG$16,IF(BH$16=0.5,MROUND(WeitsprungResultat[[#This Row],[Resultat]],BH$16),ROUND(WeitsprungResultat[[#This Row],[Resultat]],BH$16)),ROUNDDOWN(WeitsprungResultat[[#This Row],[Resultat]],BH$16))</f>
        <v>0</v>
      </c>
      <c r="BH21" s="191" t="str">
        <f>IF(OR(Geschlecht[[#This Row],[Geschlecht (Skala)]]="",BE$16=""),"",MID(Geschlecht[[#This Row],[Geschlecht (Skala)]],1,1)&amp;MID(BE$16,1,1))</f>
        <v/>
      </c>
      <c r="BI21" s="190" t="str">
        <f>IF(OR(BH21="",WeitsprungResultat[[#This Row],[Resultat]]=""),"",REPLACE(INDEX(StdDisziplinen[TabÜberschriftResultat],BE$3),FIND("X",INDEX(StdDisziplinen[TabÜberschriftResultat],BE$3),1),2,BH21))</f>
        <v/>
      </c>
      <c r="BJ21" s="192" t="str">
        <f ca="1">IF(BI21="","",IF(OR(WeitsprungResultat[[#This Row],[Resultat]]=Stammdaten!$AX$22,WeitsprungResultat[[#This Row],[Resultat]]=Stammdaten!$AX$19),Stammdaten!$AX$19,IF(ISNA(INDEX(INDIRECT(BI21),MATCH(WeitsprungGerundet[[#This Row],[Rundung]],INDIRECT(BI21),BI$18))),IF(BI$18=-1,LARGE(INDIRECT(BI21),1),SMALL(INDIRECT(BI21),1)),INDEX(INDIRECT(BI21),MATCH(WeitsprungGerundet[[#This Row],[Rundung]],INDIRECT(BI21),BI$18)))))</f>
        <v/>
      </c>
      <c r="BL21" s="18" t="str">
        <f ca="1">IF(WeitsprungSkalawert[[#This Row],[Skala-Wert]]="","",REPLACE(INDEX(StdDisziplinen[TabÜberschriftNote],BE$3),FIND("X",INDEX(StdDisziplinen[TabÜberschriftNote],BE$3),1),2,BH21))</f>
        <v/>
      </c>
      <c r="BM21" s="31" t="str">
        <f ca="1">IF(OR(BL21="",WeitsprungSkalawert[[#This Row],[Skala-Wert]]=Stammdaten!$AX$19),"",INDEX(INDIRECT(BL21),MATCH(WeitsprungSkalawert[[#This Row],[Skala-Wert]],INDIRECT(BI21),0)))</f>
        <v/>
      </c>
      <c r="BN21" s="31"/>
      <c r="BO21" s="37"/>
      <c r="BP21" s="190"/>
      <c r="BQ21" s="154">
        <f>IF(BQ$16,IF(BR$16=0.5,MROUND(BallwurfResultat[[#This Row],[Resultat]],BR$16),ROUND(BallwurfResultat[[#This Row],[Resultat]],BR$16)),ROUNDDOWN(BallwurfResultat[[#This Row],[Resultat]],BR$16))</f>
        <v>0</v>
      </c>
      <c r="BR21" s="191" t="str">
        <f>IF(OR(Geschlecht[[#This Row],[Geschlecht (Skala)]]="",BO$16=""),"",MID(Geschlecht[[#This Row],[Geschlecht (Skala)]],1,1)&amp;MID(BO$16,1,1))</f>
        <v/>
      </c>
      <c r="BS21" s="190" t="str">
        <f>IF(OR(BR21="",BallwurfResultat[[#This Row],[Resultat]]=""),"",REPLACE(INDEX(StdDisziplinen[TabÜberschriftResultat],BO$3),FIND("X",INDEX(StdDisziplinen[TabÜberschriftResultat],BO$3),1),2,BR21))</f>
        <v/>
      </c>
      <c r="BT21" s="45" t="str">
        <f ca="1">IF(BS21="","",IF(OR(BallwurfResultat[[#This Row],[Resultat]]=Stammdaten!$AX$22,BallwurfResultat[[#This Row],[Resultat]]=Stammdaten!$AX$19),Stammdaten!$AX$19,IF(ISNA(INDEX(INDIRECT(BS21),MATCH(BallwurfGerundet[[#This Row],[Rundung]],INDIRECT(BS21),BS$18))),IF(BS$18=-1,LARGE(INDIRECT(BS21),1),SMALL(INDIRECT(BS21),1)),INDEX(INDIRECT(BS21),MATCH(BallwurfGerundet[[#This Row],[Rundung]],INDIRECT(BS21),BS$18)))))</f>
        <v/>
      </c>
      <c r="BV21" s="18" t="str">
        <f ca="1">IF(BallwurfSkalawert[[#This Row],[Skala-Wert]]="","",REPLACE(INDEX(StdDisziplinen[TabÜberschriftNote],BO$3),FIND("X",INDEX(StdDisziplinen[TabÜberschriftNote],BO$3),1),2,BR21))</f>
        <v/>
      </c>
      <c r="BW21" s="31" t="str">
        <f ca="1">IF(OR(BV21="",BallwurfSkalawert[[#This Row],[Skala-Wert]]=Stammdaten!$AX$19),"",INDEX(INDIRECT(BV21),MATCH(BallwurfSkalawert[[#This Row],[Skala-Wert]],INDIRECT(BS21),0)))</f>
        <v/>
      </c>
      <c r="BX21" s="31"/>
      <c r="BY21" s="598"/>
      <c r="BZ21" s="190"/>
      <c r="CA21" s="154">
        <f>IF(CA$16,IF(CB$16=0.5,MROUND(KugelstossenResultat[[#This Row],[Resultat]],CB$16),ROUND(KugelstossenResultat[[#This Row],[Resultat]],CB$16)),ROUNDDOWN(KugelstossenResultat[[#This Row],[Resultat]],CB$16))</f>
        <v>0</v>
      </c>
      <c r="CB21" s="191" t="str">
        <f>IF(OR(Geschlecht[[#This Row],[Geschlecht (Skala)]]="",BY$16=""),"",MID(Geschlecht[[#This Row],[Geschlecht (Skala)]],1,1)&amp;MID(BY$16,1,1))</f>
        <v/>
      </c>
      <c r="CC21" s="190" t="str">
        <f>IF(OR(CB21="",KugelstossenResultat[[#This Row],[Resultat]]=""),"",REPLACE(INDEX(StdDisziplinen[TabÜberschriftResultat],BY$3),FIND("X",INDEX(StdDisziplinen[TabÜberschriftResultat],BY$3),1),2,CB21))</f>
        <v/>
      </c>
      <c r="CD21" s="45" t="str">
        <f ca="1">IF(CC21="","",IF(OR(KugelstossenResultat[[#This Row],[Resultat]]=Stammdaten!$AX$22,KugelstossenResultat[[#This Row],[Resultat]]=Stammdaten!$AX$19),Stammdaten!$AX$19,IF(ISNA(INDEX(INDIRECT(CC21),MATCH(KugelstossenGerundet[[#This Row],[Rundung]],INDIRECT(CC21),CC$18))),IF(CC$18=-1,LARGE(INDIRECT(CC21),1),SMALL(INDIRECT(CC21),1)),INDEX(INDIRECT(CC21),MATCH(KugelstossenGerundet[[#This Row],[Rundung]],INDIRECT(CC21),CC$18)))))</f>
        <v/>
      </c>
      <c r="CF21" s="18" t="str">
        <f ca="1">IF(KugelstossenSkalawert[[#This Row],[Skala-Wert]]="","",REPLACE(INDEX(StdDisziplinen[TabÜberschriftNote],BY$3),FIND("X",INDEX(StdDisziplinen[TabÜberschriftNote],BY$3),1),2,CB21))</f>
        <v/>
      </c>
      <c r="CG21" s="31" t="str">
        <f ca="1">IF(OR(CF21="",KugelstossenSkalawert[[#This Row],[Skala-Wert]]=Stammdaten!$AX$19),"",INDEX(INDIRECT(CF21),MATCH(KugelstossenSkalawert[[#This Row],[Skala-Wert]],INDIRECT(CC21),0)))</f>
        <v/>
      </c>
      <c r="CH21" s="31"/>
      <c r="CI21" s="37"/>
      <c r="CJ21" s="190"/>
      <c r="CK21" s="154">
        <f>IF(CK$16,IF(CL$16=0.5,MROUND(SpeerwurfResultat[[#This Row],[Resultat]],CL$16),ROUND(SpeerwurfResultat[[#This Row],[Resultat]],CL$16)),ROUNDDOWN(SpeerwurfResultat[[#This Row],[Resultat]],CL$16))</f>
        <v>0</v>
      </c>
      <c r="CL21" s="191" t="str">
        <f>IF(OR(Geschlecht[[#This Row],[Geschlecht (Skala)]]="",CI$16=""),"",MID(Geschlecht[[#This Row],[Geschlecht (Skala)]],1,1)&amp;MID(CI$16,1,1))</f>
        <v/>
      </c>
      <c r="CM21" s="190" t="str">
        <f>IF(OR(CL21="",SpeerwurfResultat[[#This Row],[Resultat]]=""),"",REPLACE(INDEX(StdDisziplinen[TabÜberschriftResultat],CI$3),FIND("X",INDEX(StdDisziplinen[TabÜberschriftResultat],CI$3),1),2,CL21))</f>
        <v/>
      </c>
      <c r="CN21" s="45" t="str">
        <f ca="1">IF(CM21="","",IF(OR(SpeerwurfResultat[[#This Row],[Resultat]]=Stammdaten!$AX$22,SpeerwurfResultat[[#This Row],[Resultat]]=Stammdaten!$AX$19),Stammdaten!$AX$19,IF(ISNA(INDEX(INDIRECT(CM21),MATCH(SpeerwurfGerundet[[#This Row],[Rundung]],INDIRECT(CM21),CM$18))),IF(CM$18=-1,LARGE(INDIRECT(CM21),1),SMALL(INDIRECT(CM21),1)),INDEX(INDIRECT(CM21),MATCH(SpeerwurfGerundet[[#This Row],[Rundung]],INDIRECT(CM21),CM$18)))))</f>
        <v/>
      </c>
      <c r="CP21" s="18" t="str">
        <f ca="1">IF(SpeerwurfSkalawert[[#This Row],[Skala-Wert]]="","",REPLACE(INDEX(StdDisziplinen[TabÜberschriftNote],CI$3),FIND("X",INDEX(StdDisziplinen[TabÜberschriftNote],CI$3),1),2,CL21))</f>
        <v/>
      </c>
      <c r="CQ21" s="31" t="str">
        <f ca="1">IF(OR(CP21="",SpeerwurfSkalawert[[#This Row],[Skala-Wert]]=Stammdaten!$AX$19),"",INDEX(INDIRECT(CP21),MATCH(SpeerwurfSkalawert[[#This Row],[Skala-Wert]],INDIRECT(CM21),0)))</f>
        <v/>
      </c>
      <c r="CR21" s="31"/>
      <c r="CS21" s="31" t="str">
        <f t="shared" ca="1" si="50"/>
        <v/>
      </c>
      <c r="CT21" s="31" t="str">
        <f t="shared" ca="1" si="50"/>
        <v/>
      </c>
      <c r="CU21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Row],[Skala-Wert]])&gt;0,MAX(CS21:CT21),99))</f>
        <v>Keine Note</v>
      </c>
      <c r="CV21" s="202" t="str">
        <f t="shared" ca="1" si="51"/>
        <v/>
      </c>
      <c r="CW21" s="202" t="str">
        <f ca="1">IF(CV21=$A$2,CS$10&amp;Stammdaten!$AX$25,IF(CU21=INDEX(StdFehler[],3),CS$10&amp;Stammdaten!$AX$27,INDEX(INDIRECT($B$4),MATCH(CV21,INDIRECT($B$5),0))))</f>
        <v>Sprintdisziplinen nicht durchgeführt</v>
      </c>
      <c r="CX21" s="202" t="str">
        <f ca="1">IFERROR(INDEX(INDIRECT(CX$12),MATCH(CV21,StdDisziplinen[ID],0)),"")</f>
        <v/>
      </c>
      <c r="CY21" s="202" t="e">
        <f t="shared" ca="1" si="52"/>
        <v>#N/A</v>
      </c>
      <c r="CZ21" s="202" t="e">
        <f t="shared" ca="1" si="53"/>
        <v>#N/A</v>
      </c>
      <c r="DA21" s="98" t="str">
        <f t="shared" ref="DA21:DA48" ca="1" si="223">IFERROR(TEXT(INDIRECT(CZ21),"#.00"),"")</f>
        <v/>
      </c>
      <c r="DB21" s="202" t="e">
        <f t="shared" ca="1" si="54"/>
        <v>#N/A</v>
      </c>
      <c r="DC21" s="202" t="str">
        <f t="shared" ca="1" si="55"/>
        <v/>
      </c>
      <c r="DD21" s="31" t="str">
        <f t="shared" ca="1" si="56"/>
        <v/>
      </c>
      <c r="DE21" s="31" t="str">
        <f t="shared" ca="1" si="56"/>
        <v/>
      </c>
      <c r="DF21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Row],[Skala-Wert]])&gt;0,MAX(DD21:DE21),99))</f>
        <v>Keine Note</v>
      </c>
      <c r="DG21" s="202" t="str">
        <f t="shared" ca="1" si="57"/>
        <v/>
      </c>
      <c r="DH21" s="202" t="str">
        <f ca="1">IF(DG21=$A$2,DD$10&amp;Stammdaten!$AX$25,IF(DF21=INDEX(StdFehler[],3),DD$10&amp;Stammdaten!$AX$27,INDEX(INDIRECT($B$4),MATCH(DG21,INDIRECT($B$5),0))))</f>
        <v>Ausdauerdisziplinen nicht durchgeführt</v>
      </c>
      <c r="DI21" s="202" t="str">
        <f ca="1">IFERROR(INDEX(INDIRECT(DI$12),MATCH(DG21,StdDisziplinen[ID],0)),"")</f>
        <v/>
      </c>
      <c r="DJ21" s="202" t="e">
        <f t="shared" ca="1" si="58"/>
        <v>#N/A</v>
      </c>
      <c r="DK21" s="202" t="e">
        <f t="shared" ca="1" si="59"/>
        <v>#N/A</v>
      </c>
      <c r="DL21" s="96" t="str">
        <f t="shared" ca="1" si="60"/>
        <v/>
      </c>
      <c r="DM21" s="202" t="e">
        <f t="shared" ca="1" si="61"/>
        <v>#N/A</v>
      </c>
      <c r="DN21" s="202" t="str">
        <f t="shared" ca="1" si="62"/>
        <v/>
      </c>
      <c r="DO21" s="31" t="str">
        <f t="shared" ca="1" si="63"/>
        <v/>
      </c>
      <c r="DP21" s="31" t="str">
        <f t="shared" ca="1" si="63"/>
        <v/>
      </c>
      <c r="DQ21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Row],[Skala-Wert]])&gt;0,MAX(DO21:DP21),99))</f>
        <v>Keine Note</v>
      </c>
      <c r="DR21" s="202" t="str">
        <f t="shared" ca="1" si="64"/>
        <v/>
      </c>
      <c r="DS21" s="202" t="str">
        <f ca="1">IF(DR21=$A$2,DO$10&amp;Stammdaten!$AX$25,IF(DQ21=INDEX(StdFehler[],3),DO$10&amp;Stammdaten!$AX$27,INDEX(INDIRECT($B$4),MATCH(DR21,INDIRECT($B$5),0))))</f>
        <v>Sprungdisziplinen nicht durchgeführt</v>
      </c>
      <c r="DT21" s="202" t="str">
        <f ca="1">IFERROR(INDEX(INDIRECT(DT$12),MATCH(DR21,StdDisziplinen[ID],0)),"")</f>
        <v/>
      </c>
      <c r="DU21" s="202" t="e">
        <f t="shared" ca="1" si="65"/>
        <v>#N/A</v>
      </c>
      <c r="DV21" s="202" t="e">
        <f t="shared" ca="1" si="66"/>
        <v>#N/A</v>
      </c>
      <c r="DW21" s="202" t="str">
        <f t="shared" ca="1" si="67"/>
        <v/>
      </c>
      <c r="DX21" s="202" t="e">
        <f t="shared" ca="1" si="68"/>
        <v>#N/A</v>
      </c>
      <c r="DY21" s="202" t="str">
        <f t="shared" ca="1" si="69"/>
        <v/>
      </c>
      <c r="DZ21" s="31" t="str">
        <f ca="1">IF(BallwurfSkalawert[[#This Row],[Skala-Wert]]=$A$3,$A$2,IF(ISNUMBER(BallwurfSkalawert[[#This Row],[Skala-Wert]]),BallwurfNote[[#This Row],[Note]],"!"))</f>
        <v>!</v>
      </c>
      <c r="EA21" s="31" t="str">
        <f ca="1">IF(KugelstossenSkalawert[[#This Row],[Skala-Wert]]=$A$3,$A$2,IF(ISNUMBER(KugelstossenSkalawert[[#This Row],[Skala-Wert]]),KugelstossenNote[[#This Row],[Note]],"!"))</f>
        <v>!</v>
      </c>
      <c r="EB21" s="31" t="str">
        <f ca="1">IF(SpeerwurfSkalawert[[#This Row],[Skala-Wert]]=$A$3,$A$2,IF(ISNUMBER(SpeerwurfSkalawert[[#This Row],[Skala-Wert]]),SpeerwurfNote[[#This Row],[Note]],"!"))</f>
        <v>!</v>
      </c>
      <c r="EC21" s="95" t="str">
        <f ca="1">IF(ED21&gt;0,MAX(DZ21:EB21),IF(EE21&gt;0,99,INDEX(StdFehler[StdFehler],3)))</f>
        <v>Keine Note</v>
      </c>
      <c r="ED21" s="202">
        <f t="shared" ca="1" si="70"/>
        <v>0</v>
      </c>
      <c r="EE21" s="202">
        <f t="shared" ca="1" si="71"/>
        <v>0</v>
      </c>
      <c r="EF21" s="202" t="str">
        <f t="shared" ca="1" si="72"/>
        <v/>
      </c>
      <c r="EG21" s="202" t="str">
        <f ca="1">IF(EF21=$A$2,DZ$10&amp;Stammdaten!$AX$25,IF(EC21=INDEX(StdFehler[],3),DZ$10&amp;Stammdaten!$AX$27,INDEX(INDIRECT($B$4),MATCH(EF21,INDIRECT($B$5),0))))</f>
        <v>Wurfdisziplinen nicht durchgeführt</v>
      </c>
      <c r="EH21" s="202" t="str">
        <f ca="1">IFERROR(INDEX(INDIRECT(EH$12),MATCH(EF21,StdDisziplinen[ID],0)),"")</f>
        <v/>
      </c>
      <c r="EI21" s="202" t="e">
        <f t="shared" ca="1" si="73"/>
        <v>#N/A</v>
      </c>
      <c r="EJ21" s="202" t="e">
        <f t="shared" ca="1" si="74"/>
        <v>#N/A</v>
      </c>
      <c r="EK21" s="98" t="str">
        <f t="shared" ca="1" si="75"/>
        <v/>
      </c>
      <c r="EL21" s="202" t="e">
        <f t="shared" ca="1" si="76"/>
        <v>#N/A</v>
      </c>
      <c r="EM21" s="202" t="str">
        <f t="shared" ca="1" si="77"/>
        <v/>
      </c>
      <c r="EN21" s="200">
        <f t="shared" ca="1" si="1"/>
        <v>0</v>
      </c>
      <c r="EO21" s="202">
        <f t="shared" ca="1" si="78"/>
        <v>0</v>
      </c>
      <c r="EP21" s="96">
        <f t="shared" ca="1" si="2"/>
        <v>0</v>
      </c>
      <c r="EQ21" s="96">
        <f t="shared" ca="1" si="3"/>
        <v>0</v>
      </c>
      <c r="ER21" s="96">
        <f t="shared" ca="1" si="4"/>
        <v>0</v>
      </c>
      <c r="ES21" s="96">
        <f t="shared" ca="1" si="5"/>
        <v>0</v>
      </c>
      <c r="ET21" s="202">
        <f t="shared" ca="1" si="79"/>
        <v>0</v>
      </c>
      <c r="EU21" s="202" t="str">
        <f ca="1">IF($EO21=$FA$4,Stammdaten!$AX$19,IF(COUNTIF($EP21:$ES21,0)&lt;&gt;0,INDEX(StdFehler[StdFehler],4),ROUND(SUM($ET21/$EN21)/$FC$4,0)*$FC$4))</f>
        <v>Zu wenige Noten</v>
      </c>
      <c r="EV21" s="202" t="str">
        <f t="shared" ca="1" si="6"/>
        <v>Zu wenige Noten</v>
      </c>
      <c r="EW21" s="202" t="str">
        <f t="shared" ca="1" si="80"/>
        <v>Zu wenige Noten</v>
      </c>
      <c r="EX21" s="202" t="str">
        <f t="shared" ca="1" si="80"/>
        <v>Zu wenige Noten</v>
      </c>
      <c r="EY21" s="202" t="str">
        <f t="shared" ca="1" si="80"/>
        <v>Zu wenige Noten</v>
      </c>
      <c r="EZ21" s="202" t="str">
        <f t="shared" ca="1" si="81"/>
        <v>Zu wenige Noten</v>
      </c>
      <c r="FA21" s="202" t="str">
        <f t="shared" ca="1" si="82"/>
        <v>Zu wenige Noten</v>
      </c>
      <c r="FB21" s="31"/>
      <c r="FC21" s="56" t="str">
        <f t="shared" ca="1" si="83"/>
        <v>Zu wenige Noten</v>
      </c>
      <c r="FD21" s="31"/>
      <c r="FE21" s="597"/>
      <c r="FF21" s="190"/>
      <c r="FJ21" s="31"/>
      <c r="FK21" s="597"/>
      <c r="FL21" s="190"/>
      <c r="FP21" s="31"/>
      <c r="FQ21" s="597"/>
      <c r="FR21" s="190"/>
      <c r="FV21" s="31"/>
      <c r="FW21" s="597"/>
      <c r="FX21" s="190"/>
      <c r="GB21" s="31"/>
      <c r="GC21" s="597"/>
      <c r="GD21" s="190"/>
      <c r="GF21" s="154"/>
      <c r="GH21" s="31"/>
      <c r="GI21" s="597"/>
      <c r="GJ21" s="190"/>
      <c r="GN21" s="45"/>
      <c r="GO21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1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1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1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1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1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1" s="202">
        <f t="shared" si="7"/>
        <v>0</v>
      </c>
      <c r="GV21" s="202">
        <f t="shared" si="8"/>
        <v>0</v>
      </c>
      <c r="GW21" s="202">
        <f t="shared" si="84"/>
        <v>0</v>
      </c>
      <c r="GX21" s="200" t="str">
        <f t="shared" si="85"/>
        <v>!</v>
      </c>
      <c r="GY21" s="200" t="str">
        <f t="shared" si="9"/>
        <v>!</v>
      </c>
      <c r="GZ21" s="200" t="str">
        <f t="shared" si="10"/>
        <v>!</v>
      </c>
      <c r="HA21" s="244" t="str">
        <f t="shared" si="86"/>
        <v>nd</v>
      </c>
      <c r="HB21" s="244" t="str">
        <f t="shared" si="87"/>
        <v>nd</v>
      </c>
      <c r="HC21" s="244" t="str">
        <f t="shared" si="88"/>
        <v>nd</v>
      </c>
      <c r="HD21" s="244" t="str">
        <f t="shared" si="89"/>
        <v>nd</v>
      </c>
      <c r="HE21" s="244" t="str">
        <f t="shared" si="90"/>
        <v>nd</v>
      </c>
      <c r="HF21" s="244" t="str">
        <f t="shared" si="91"/>
        <v>nd</v>
      </c>
      <c r="HG21" s="202" t="b">
        <f t="shared" si="92"/>
        <v>0</v>
      </c>
      <c r="HH21" s="202">
        <f t="shared" si="93"/>
        <v>1</v>
      </c>
      <c r="HI21" s="202">
        <f t="shared" si="94"/>
        <v>0</v>
      </c>
      <c r="HJ21" s="200" t="str">
        <f t="shared" si="95"/>
        <v/>
      </c>
      <c r="HK21" s="200" t="str">
        <f t="shared" si="96"/>
        <v/>
      </c>
      <c r="HL21" s="200">
        <f t="shared" si="97"/>
        <v>0</v>
      </c>
      <c r="HM21" s="202" t="str">
        <f t="shared" si="98"/>
        <v/>
      </c>
      <c r="HN21" s="200" t="str">
        <f t="shared" si="99"/>
        <v/>
      </c>
      <c r="HO21" s="200" t="str">
        <f t="shared" si="100"/>
        <v/>
      </c>
      <c r="HP21" s="200" t="str">
        <f t="shared" si="101"/>
        <v/>
      </c>
      <c r="HQ21" s="242" t="str">
        <f t="shared" si="102"/>
        <v/>
      </c>
      <c r="HR21" s="242" t="str">
        <f t="shared" si="103"/>
        <v/>
      </c>
      <c r="HS21" s="242" t="str">
        <f t="shared" si="104"/>
        <v/>
      </c>
      <c r="HT21" s="242" t="str">
        <f t="shared" ca="1" si="105"/>
        <v>Erstes Gerät</v>
      </c>
      <c r="HU21" s="242" t="str">
        <f ca="1">IF(HT21=$HS$12,Stammdaten!$AY$27,IF(HW21=$A$2,TRIM(Stammdaten!$AX$25),""))</f>
        <v>nicht durchgeführt</v>
      </c>
      <c r="HV21" s="242" t="str">
        <f t="shared" ca="1" si="106"/>
        <v/>
      </c>
      <c r="HW21" s="277" t="str">
        <f t="shared" si="11"/>
        <v/>
      </c>
      <c r="HX21" s="202" t="str">
        <f t="shared" si="107"/>
        <v/>
      </c>
      <c r="HY21" s="202" t="str">
        <f t="shared" ca="1" si="108"/>
        <v/>
      </c>
      <c r="HZ21" s="202" t="str">
        <f t="shared" ca="1" si="109"/>
        <v>StdDisziplinen[MaxTextSt]</v>
      </c>
      <c r="IA21" s="202" t="str">
        <f t="shared" ca="1" si="12"/>
        <v/>
      </c>
      <c r="IB21" s="202" t="b">
        <f t="shared" si="110"/>
        <v>0</v>
      </c>
      <c r="IC21" s="202" t="str">
        <f t="shared" si="111"/>
        <v/>
      </c>
      <c r="ID21" s="202" t="str">
        <f t="shared" si="112"/>
        <v/>
      </c>
      <c r="IE21" s="202" t="str">
        <f t="shared" si="113"/>
        <v/>
      </c>
      <c r="IF21" s="202" t="str">
        <f t="shared" si="114"/>
        <v/>
      </c>
      <c r="IG21" s="242" t="str">
        <f t="shared" si="115"/>
        <v/>
      </c>
      <c r="IH21" s="242" t="str">
        <f t="shared" si="116"/>
        <v/>
      </c>
      <c r="II21" s="242" t="str">
        <f t="shared" ca="1" si="13"/>
        <v>Zweites Gerät</v>
      </c>
      <c r="IJ21" s="242" t="str">
        <f ca="1">IF(II21=$IH$12,Stammdaten!$AY$27,IF(IL21=$A$2,TRIM(Stammdaten!$AX$25),""))</f>
        <v>nicht durchgeführt</v>
      </c>
      <c r="IK21" s="242" t="str">
        <f t="shared" ca="1" si="117"/>
        <v/>
      </c>
      <c r="IL21" s="200" t="str">
        <f t="shared" si="14"/>
        <v/>
      </c>
      <c r="IM21" s="202" t="str">
        <f t="shared" si="118"/>
        <v/>
      </c>
      <c r="IN21" s="202" t="str">
        <f t="shared" ca="1" si="119"/>
        <v/>
      </c>
      <c r="IO21" s="202" t="str">
        <f t="shared" ca="1" si="120"/>
        <v>StdDisziplinen[MaxTextSt]</v>
      </c>
      <c r="IP21" s="202" t="str">
        <f t="shared" ca="1" si="121"/>
        <v/>
      </c>
      <c r="IQ21" s="202" t="b">
        <f t="shared" si="122"/>
        <v>0</v>
      </c>
      <c r="IR21" s="242" t="str">
        <f t="shared" ca="1" si="15"/>
        <v>Drittes Gerät</v>
      </c>
      <c r="IS21" s="242" t="str">
        <f ca="1">IF(IR21=$IR$12,MID(Stammdaten!$AX$27,2,LEN(Stammdaten!$AX$27)),IF(IU21=$A$2,TRIM(Stammdaten!$AX$25),""))</f>
        <v>nicht durchgeführt</v>
      </c>
      <c r="IT21" s="242" t="str">
        <f t="shared" ca="1" si="16"/>
        <v/>
      </c>
      <c r="IU21" s="200" t="str">
        <f t="shared" si="17"/>
        <v/>
      </c>
      <c r="IV21" s="202" t="str">
        <f t="shared" si="123"/>
        <v/>
      </c>
      <c r="IW21" s="202" t="str">
        <f t="shared" ca="1" si="124"/>
        <v/>
      </c>
      <c r="IX21" s="202" t="str">
        <f t="shared" ca="1" si="125"/>
        <v>StdDisziplinen[MaxTextSt]</v>
      </c>
      <c r="IY21" s="202" t="str">
        <f t="shared" ca="1" si="18"/>
        <v/>
      </c>
      <c r="IZ21" s="200" t="str">
        <f>IF(NOT(GW21),INDEX(StdFehler[StdFehler],4),IF(COUNTIF(GX21:GZ21,$A$2)&gt;=$IZ$4,$A$3,SUM(GX21:GZ21)))</f>
        <v>Zu wenige Noten</v>
      </c>
      <c r="JA21" s="31"/>
      <c r="JB21" s="587" t="e">
        <f t="shared" si="19"/>
        <v>#VALUE!</v>
      </c>
      <c r="JC21" s="191" t="str">
        <f>IF(OR(Geschlecht[[#This Row],[Geschlecht (Skala)]]="",IZ21=""),"",MID(Geschlecht[[#This Row],[Geschlecht (Skala)]],1,1)&amp;MID($FE$16,1,1))</f>
        <v/>
      </c>
      <c r="JD21" s="190" t="str">
        <f>IF(OR(JC21="",IZ21=""),"",REPLACE(INDEX(StdDisziplinen[TabÜberschriftResultat],$FE$3),FIND("X",INDEX(StdDisziplinen[TabÜberschriftResultat],$FE$3),1),2,JC21))</f>
        <v/>
      </c>
      <c r="JE21" s="192" t="str">
        <f ca="1">IF(OR(JD21="",IZ21=Stammdaten!$AZ$5),"",IF(OR(IZ21=Stammdaten!$AX$22,IZ21=Stammdaten!$AX$19),Stammdaten!$AX$19,IF(ISNA(INDEX(INDIRECT(JD21),MATCH(GeräteturnenGerundet[[#This Row],[Rundung]],INDIRECT(JD21),$JD$16))),IF($JD$16=-1,LARGE(INDIRECT(JD21),1),SMALL(INDIRECT(JD21),1)),INDEX(INDIRECT(JD21),MATCH(GeräteturnenGerundet[[#This Row],[Rundung]],INDIRECT(JD21),$JD$16)))))</f>
        <v/>
      </c>
      <c r="JG21" s="18" t="str">
        <f ca="1">IF(GeräteturnenSkalawert[[#This Row],[Skala-Wert]]="","",REPLACE(INDEX(StdDisziplinen[TabÜberschriftNote],$FE$3),FIND("X",INDEX(StdDisziplinen[TabÜberschriftNote],$FE$3),1),2,JC21))</f>
        <v/>
      </c>
      <c r="JH21" s="45" t="str">
        <f ca="1">IF(OR(JG21="",GeräteturnenSkalawert[[#This Row],[Skala-Wert]]=Stammdaten!$AX$19),"",INDEX(INDIRECT(JG21),MATCH(GeräteturnenSkalawert[[#This Row],[Skala-Wert]],INDIRECT(JD21),0)))</f>
        <v/>
      </c>
      <c r="JI21" s="31"/>
      <c r="JJ21" s="597"/>
      <c r="JK21" s="190"/>
      <c r="JL21" s="587">
        <f>IF(JL$16,IF(JM$16=0.5,MROUND(ParkourResultat[[#This Row],[Resultat]],JM$16),ROUND(ParkourResultat[[#This Row],[Resultat]],JM$16)),ROUNDDOWN(ParkourResultat[[#This Row],[Resultat]],JM$16))</f>
        <v>0</v>
      </c>
      <c r="JM21" s="191" t="str">
        <f>IF(OR(Geschlecht[[#This Row],[Geschlecht (Skala)]]="",JJ$16=""),"",MID(Geschlecht[[#This Row],[Geschlecht (Skala)]],1,1)&amp;MID(JJ$16,1,1))</f>
        <v/>
      </c>
      <c r="JN21" s="190" t="str">
        <f>IF(OR(JM21="",ParkourResultat[[#This Row],[Resultat]]=""),"",REPLACE(INDEX(StdDisziplinen[TabÜberschriftResultat],JJ$3),FIND("X",INDEX(StdDisziplinen[TabÜberschriftResultat],JJ$3),1),2,JM21))</f>
        <v/>
      </c>
      <c r="JO21" s="192" t="str">
        <f ca="1">IF(JN21="","",IF(OR(ParkourResultat[[#This Row],[Resultat]]=Stammdaten!$AX$22,ParkourResultat[[#This Row],[Resultat]]=Stammdaten!$AX$19),Stammdaten!$AX$19,IF(ISNA(INDEX(INDIRECT(JN21),MATCH(ParkourGerundet[[#This Row],[Rundung]],INDIRECT(JN21),JN$18))),IF(JN$18=-1,LARGE(INDIRECT(JN21),1),SMALL(INDIRECT(JN21),1)),INDEX(INDIRECT(JN21),MATCH(ParkourGerundet[[#This Row],[Rundung]],INDIRECT(JN21),JN$18)))))</f>
        <v/>
      </c>
      <c r="JQ21" s="18" t="str">
        <f ca="1">IF(ParkourSkalawert[[#This Row],[Skala-Wert]]="","",REPLACE(INDEX(StdDisziplinen[TabÜberschriftNote],JJ$3),FIND("X",INDEX(StdDisziplinen[TabÜberschriftNote],JJ$3),1),2,JM21))</f>
        <v/>
      </c>
      <c r="JR21" s="31" t="str">
        <f ca="1">IF(OR(JQ21="",ParkourSkalawert[[#This Row],[Skala-Wert]]=Stammdaten!$AX$19),"",INDEX(INDIRECT(JQ21),MATCH(ParkourSkalawert[[#This Row],[Skala-Wert]],INDIRECT(JN21),0)))</f>
        <v/>
      </c>
      <c r="JS21" s="96"/>
      <c r="JT21" s="47" t="str">
        <f ca="1">IF(OR(ISNUMBER(ParkourSkalawert[[#This Row],[Skala-Wert]]),ParkourSkalawert[[#This Row],[Skala-Wert]]=$A$3),INDEX(INDIRECT($JU$1),MATCH($JJ$3,INDIRECT($B$5),0)),"")</f>
        <v/>
      </c>
      <c r="JU21" s="200" t="str">
        <f t="shared" ca="1" si="126"/>
        <v>StdDisziplinen[MaxTextSt]</v>
      </c>
      <c r="JV21" s="200" t="str">
        <f t="shared" ca="1" si="127"/>
        <v/>
      </c>
      <c r="JW21" s="98">
        <f ca="1">IF(GeräteturnenSkalawert[[#This Row],[Skala-Wert]]=$A$3,$A$2,IF(GeräteturnenNote[[#This Row],[Note]]="",0,GeräteturnenNote[[#This Row],[Note]]))</f>
        <v>0</v>
      </c>
      <c r="JX21" s="96">
        <f ca="1">IF(ParkourSkalawert[[#This Row],[Skala-Wert]]=$A$3,$A$2,IF(ParkourNote[[#This Row],[Note]]="",0,ParkourNote[[#This Row],[Note]]))</f>
        <v>0</v>
      </c>
      <c r="JY21" s="200">
        <f t="shared" ca="1" si="128"/>
        <v>0</v>
      </c>
      <c r="JZ21" s="200">
        <f t="shared" ca="1" si="129"/>
        <v>0</v>
      </c>
      <c r="KA21" s="202">
        <f t="shared" ca="1" si="130"/>
        <v>0</v>
      </c>
      <c r="KB21" s="98" t="str">
        <f t="shared" ca="1" si="20"/>
        <v>!</v>
      </c>
      <c r="KC21" s="98" t="str">
        <f t="shared" ca="1" si="21"/>
        <v>!</v>
      </c>
      <c r="KD21" s="202" t="str">
        <f ca="1">IF(NOT(KA21),INDEX(StdFehler[StdFehler],4),IF(JZ21=$KA$12,$A$3,IF(JW21=$A$2,JX21,IF(JX21=$A$2,JW21,CONCATENATE(JW21,", ",JX21)))))</f>
        <v>Zu wenige Noten</v>
      </c>
      <c r="KE21" s="202" t="str">
        <f t="shared" ca="1" si="131"/>
        <v>Zu wenige Noten</v>
      </c>
      <c r="KF21" s="31"/>
      <c r="KG21" s="56" t="str">
        <f ca="1">IF(NOT(KA21),INDEX(StdFehler[StdFehler],4),IF(JZ21=$KA$12,$A$3,ROUND(AVERAGE(KB21:KC21)/$KG$4,0)*$KG$4))</f>
        <v>Zu wenige Noten</v>
      </c>
      <c r="KH21" s="31"/>
      <c r="KI21" s="599"/>
      <c r="KJ21" s="190"/>
      <c r="KK21" s="586">
        <f>IF(KK$16,IF(KL$16=0.5,MROUND(TanzenResultat[[#This Row],[Resultat]],KL$16),ROUND(TanzenResultat[[#This Row],[Resultat]],KL$16)),ROUNDDOWN(TanzenResultat[[#This Row],[Resultat]],KL$16))</f>
        <v>0</v>
      </c>
      <c r="KL21" s="191" t="str">
        <f>IF(OR(Geschlecht[[#This Row],[Geschlecht (Skala)]]="",KI$16=""),"",MID(Geschlecht[[#This Row],[Geschlecht (Skala)]],1,1)&amp;MID(KI$16,1,1))</f>
        <v/>
      </c>
      <c r="KM21" s="190" t="str">
        <f>IF(OR(KL21="",TanzenResultat[[#This Row],[Resultat]]=""),"",REPLACE(INDEX(StdDisziplinen[TabÜberschriftResultat],KI$3),FIND("X",INDEX(StdDisziplinen[TabÜberschriftResultat],KI$3),1),2,KL21))</f>
        <v/>
      </c>
      <c r="KN21" s="31" t="str">
        <f ca="1">IF(KM21="","",IF(OR(TanzenResultat[[#This Row],[Resultat]]=Stammdaten!$AX$22,TanzenResultat[[#This Row],[Resultat]]=Stammdaten!$AX$19),Stammdaten!$AX$19,IF(ISNA(INDEX(INDIRECT(KM21),MATCH(TanzenGerundet[[#This Row],[Rundung]],INDIRECT(KM21),KM$18))),IF(KM$18=-1,LARGE(INDIRECT(KM21),1),SMALL(INDIRECT(KM21),1)),INDEX(INDIRECT(KM21),MATCH(TanzenGerundet[[#This Row],[Rundung]],INDIRECT(KM21),KM$18)))))</f>
        <v/>
      </c>
      <c r="KP21" s="18" t="str">
        <f ca="1">IF(TanzenSkalawert[[#This Row],[Skala-Wert]]="","",REPLACE(INDEX(StdDisziplinen[TabÜberschriftNote],KI$3),FIND("X",INDEX(StdDisziplinen[TabÜberschriftNote],KI$3),1),2,KL21))</f>
        <v/>
      </c>
      <c r="KQ21" s="45" t="str">
        <f ca="1">IF(OR(KP21="",TanzenSkalawert[[#This Row],[Skala-Wert]]=Stammdaten!$AX$19),"",INDEX(INDIRECT(KP21),MATCH(TanzenSkalawert[[#This Row],[Skala-Wert]],INDIRECT(KM21),0)))</f>
        <v/>
      </c>
      <c r="KR21" s="31"/>
      <c r="KS21" s="597"/>
      <c r="KT21" s="190"/>
      <c r="KU21" s="587">
        <f>IF(KU$16,IF(KV$16=0.5,MROUND(RopeSkippingResultat[[#This Row],[Resultat]],KV$16),ROUND(RopeSkippingResultat[[#This Row],[Resultat]],KV$16)),ROUNDDOWN(RopeSkippingResultat[[#This Row],[Resultat]],KV$16))</f>
        <v>0</v>
      </c>
      <c r="KV21" s="191" t="str">
        <f>IF(OR(Geschlecht[[#This Row],[Geschlecht (Skala)]]="",KS$16=""),"",MID(Geschlecht[[#This Row],[Geschlecht (Skala)]],1,1)&amp;MID(KS$16,1,1))</f>
        <v/>
      </c>
      <c r="KW21" s="190" t="str">
        <f>IF(OR(KV21="",RopeSkippingResultat[[#This Row],[Resultat]]=""),"",REPLACE(INDEX(StdDisziplinen[TabÜberschriftResultat],KS$3),FIND("X",INDEX(StdDisziplinen[TabÜberschriftResultat],KS$3),1),2,KV21))</f>
        <v/>
      </c>
      <c r="KX21" s="192" t="str">
        <f ca="1">IF(KW21="","",IF(OR(RopeSkippingResultat[[#This Row],[Resultat]]=Stammdaten!$AX$22,RopeSkippingResultat[[#This Row],[Resultat]]=Stammdaten!$AX$19),Stammdaten!$AX$19,IF(ISNA(INDEX(INDIRECT(KW21),MATCH(RopeSkippingGerundet[[#This Row],[Rundung]],INDIRECT(KW21),KW$18))),IF(KW$18=-1,LARGE(INDIRECT(KW21),1),SMALL(INDIRECT(KW21),1)),INDEX(INDIRECT(KW21),MATCH(RopeSkippingGerundet[[#This Row],[Rundung]],INDIRECT(KW21),KW$18)))))</f>
        <v/>
      </c>
      <c r="KZ21" s="18" t="str">
        <f ca="1">IF(RopeSkippingSkalawert[[#This Row],[Skala-Wert]]="","",REPLACE(INDEX(StdDisziplinen[TabÜberschriftNote],KS$3),FIND("X",INDEX(StdDisziplinen[TabÜberschriftNote],KS$3),1),2,KV21))</f>
        <v/>
      </c>
      <c r="LA21" s="45" t="str">
        <f ca="1">IF(OR(KZ21="",RopeSkippingSkalawert[[#This Row],[Skala-Wert]]=Stammdaten!$AX$19),"",INDEX(INDIRECT(KZ21),MATCH(RopeSkippingSkalawert[[#This Row],[Skala-Wert]],INDIRECT(KW21),0)))</f>
        <v/>
      </c>
      <c r="LB21" s="31"/>
      <c r="LC21" s="599"/>
      <c r="LD21" s="190"/>
      <c r="LE21" s="586">
        <f>IF(LE$16,IF(LF$16=0.5,MROUND(AerobicResultat[[#This Row],[Resultat]],LF$16),ROUND(AerobicResultat[[#This Row],[Resultat]],LF$16)),ROUNDDOWN(AerobicResultat[[#This Row],[Resultat]],LF$16))</f>
        <v>0</v>
      </c>
      <c r="LF21" s="191" t="str">
        <f>IF(OR(Geschlecht[[#This Row],[Geschlecht (Skala)]]="",LC$16=""),"",MID(Geschlecht[[#This Row],[Geschlecht (Skala)]],1,1)&amp;MID(LC$16,1,1))</f>
        <v/>
      </c>
      <c r="LG21" s="190" t="str">
        <f>IF(OR(LF21="",AerobicResultat[[#This Row],[Resultat]]=""),"",REPLACE(INDEX(StdDisziplinen[TabÜberschriftResultat],LC$3),FIND("X",INDEX(StdDisziplinen[TabÜberschriftResultat],LC$3),1),2,LF21))</f>
        <v/>
      </c>
      <c r="LH21" s="31" t="str">
        <f ca="1">IF(LG21="","",IF(OR(AerobicResultat[[#This Row],[Resultat]]=Stammdaten!$AX$22,AerobicResultat[[#This Row],[Resultat]]=Stammdaten!$AX$19),Stammdaten!$AX$19,IF(ISNA(INDEX(INDIRECT(LG21),MATCH(AerobicGerundet[[#This Row],[Rundung]],INDIRECT(LG21),LG$18))),IF(LG$18=-1,LARGE(INDIRECT(LG21),1),SMALL(INDIRECT(LG21),1)),INDEX(INDIRECT(LG21),MATCH(AerobicGerundet[[#This Row],[Rundung]],INDIRECT(LG21),LG$18)))))</f>
        <v/>
      </c>
      <c r="LJ21" s="18" t="str">
        <f ca="1">IF(AerobicSkalawert[[#This Row],[Skala-Wert]]="","",REPLACE(INDEX(StdDisziplinen[TabÜberschriftNote],LC$3),FIND("X",INDEX(StdDisziplinen[TabÜberschriftNote],LC$3),1),2,LF21))</f>
        <v/>
      </c>
      <c r="LK21" s="45" t="str">
        <f ca="1">IF(OR(LJ21="",AerobicSkalawert[[#This Row],[Skala-Wert]]=Stammdaten!$AX$19),"",INDEX(INDIRECT(LJ21),MATCH(AerobicSkalawert[[#This Row],[Skala-Wert]],INDIRECT(LG21),0)))</f>
        <v/>
      </c>
      <c r="LL21" s="31"/>
      <c r="LM21" s="45" t="str">
        <f ca="1">IF(TanzenSkalawert[[#This Row],[Skala-Wert]]=$A$3,$A$2,IF(ISNUMBER(TanzenSkalawert[[#This Row],[Skala-Wert]]),TanzenNote[[#This Row],[Note]],"!"))</f>
        <v>!</v>
      </c>
      <c r="LN21" s="45" t="str">
        <f ca="1">IF(RopeSkippingSkalawert[[#This Row],[Skala-Wert]]=$A$3,$A$2,IF(ISNUMBER(RopeSkippingSkalawert[[#This Row],[Skala-Wert]]),RopeSkippingNote[[#This Row],[Note]],"!"))</f>
        <v>!</v>
      </c>
      <c r="LO21" s="45" t="str">
        <f ca="1">IF(AerobicSkalawert[[#This Row],[Skala-Wert]]=$A$3,$A$2,IF(ISNUMBER(AerobicSkalawert[[#This Row],[Skala-Wert]]),AerobicNote[[#This Row],[Note]],"!"))</f>
        <v>!</v>
      </c>
      <c r="LP21" s="36">
        <f t="shared" ca="1" si="132"/>
        <v>0</v>
      </c>
      <c r="LQ21" s="36">
        <f t="shared" ca="1" si="133"/>
        <v>0</v>
      </c>
      <c r="LR21" s="244" t="str">
        <f t="shared" ca="1" si="22"/>
        <v>nd</v>
      </c>
      <c r="LS21" s="244" t="str">
        <f t="shared" ca="1" si="23"/>
        <v>nd</v>
      </c>
      <c r="LT21" s="244" t="str">
        <f t="shared" ca="1" si="24"/>
        <v>nd</v>
      </c>
      <c r="LU21" s="242" t="str">
        <f t="shared" ca="1" si="25"/>
        <v/>
      </c>
      <c r="LV21" s="242" t="str">
        <f t="shared" ca="1" si="134"/>
        <v/>
      </c>
      <c r="LW21" s="242" t="str">
        <f t="shared" ca="1" si="135"/>
        <v/>
      </c>
      <c r="LX21" s="242" t="str">
        <f ca="1">IF(LW21="",Stammdaten!$AM$4,INDEX(INDIRECT($B$4),MATCH($LW21,INDIRECT($B$5),0)))</f>
        <v>Darstellen und Tanzen</v>
      </c>
      <c r="LY21" s="242" t="str">
        <f ca="1">IF(LW21="",Stammdaten!$AY$27,IF(ISNUMBER(LU21),LX21,IF(ISNUMBER(LV21),TRIM(Stammdaten!$AX$25),"")))</f>
        <v>nicht durchgeführt</v>
      </c>
      <c r="LZ21" s="242" t="str">
        <f t="shared" ca="1" si="136"/>
        <v>Darstellen und Tanzen</v>
      </c>
      <c r="MA21" s="242" t="str">
        <f t="shared" ca="1" si="137"/>
        <v/>
      </c>
      <c r="MB21" s="242" t="str">
        <f t="shared" ca="1" si="26"/>
        <v>Darstellen und TanzenResultat[@Resultat]</v>
      </c>
      <c r="MC21" s="274" t="str">
        <f t="shared" ca="1" si="138"/>
        <v/>
      </c>
      <c r="MD21" s="242" t="str">
        <f t="shared" ca="1" si="139"/>
        <v>Darstellen und TanzenSkalawert[@[Skala-Wert]]</v>
      </c>
      <c r="ME21" s="274" t="str">
        <f t="shared" ca="1" si="140"/>
        <v/>
      </c>
      <c r="MF21" s="47" t="str">
        <f t="shared" ca="1" si="27"/>
        <v/>
      </c>
      <c r="MG21" s="200" t="str">
        <f t="shared" ca="1" si="141"/>
        <v>StdDisziplinen[MaxTextSt]</v>
      </c>
      <c r="MH21" s="200" t="str">
        <f t="shared" ca="1" si="142"/>
        <v/>
      </c>
      <c r="MI21" s="45"/>
      <c r="MJ21" s="98" t="str">
        <f ca="1">IF(LP21&gt;0,MAX(LM21:LO21),IF(LQ21&gt;0,$A$3,INDEX(StdFehler[StdFehler],4)))</f>
        <v>Zu wenige Noten</v>
      </c>
      <c r="MK21" s="45"/>
      <c r="ML21" s="37"/>
      <c r="MM21" s="190"/>
      <c r="MN21" s="586">
        <f>IF(MN$16,IF(MO$16=0.5,MROUND(BasketballResultat[[#This Row],[Resultat]],MO$16),ROUND(BasketballResultat[[#This Row],[Resultat]],MO$16)),ROUNDDOWN(BasketballResultat[[#This Row],[Resultat]],MO$16))</f>
        <v>0</v>
      </c>
      <c r="MO21" s="191" t="str">
        <f>IF(OR(Geschlecht[[#This Row],[Geschlecht (Skala)]]="",ML$16=""),"",MID(Geschlecht[[#This Row],[Geschlecht (Skala)]],1,1)&amp;MID(ML$16,1,1))</f>
        <v/>
      </c>
      <c r="MP21" s="190" t="str">
        <f>IF(OR(MO21="",BasketballResultat[[#This Row],[Resultat]]=""),"",REPLACE(INDEX(StdDisziplinen[TabÜberschriftResultat],ML$3),FIND("X",INDEX(StdDisziplinen[TabÜberschriftResultat],ML$3),1),2,MO21))</f>
        <v/>
      </c>
      <c r="MQ21" s="31" t="str">
        <f ca="1">IF(MP21="","",IF(OR(BasketballResultat[[#This Row],[Resultat]]=Stammdaten!$AX$22,BasketballResultat[[#This Row],[Resultat]]=Stammdaten!$AX$19),Stammdaten!$AX$19,IF(ISNA(INDEX(INDIRECT(MP21),MATCH(BasketballGerundet[[#This Row],[Rundung]],INDIRECT(MP21),MP$18))),IF(MP$18=-1,LARGE(INDIRECT(MP21),1),SMALL(INDIRECT(MP21),1)),INDEX(INDIRECT(MP21),MATCH(BasketballGerundet[[#This Row],[Rundung]],INDIRECT(MP21),MP$18)))))</f>
        <v/>
      </c>
      <c r="MS21" s="18" t="str">
        <f ca="1">IF(BasketballSkalawert[[#This Row],[Skala-Wert]]="","",REPLACE(INDEX(StdDisziplinen[TabÜberschriftNote],ML$3),FIND("X",INDEX(StdDisziplinen[TabÜberschriftNote],ML$3),1),2,MO21))</f>
        <v/>
      </c>
      <c r="MT21" s="31" t="str">
        <f ca="1">IF(OR(MS21="",BasketballSkalawert[[#This Row],[Skala-Wert]]=Stammdaten!$AX$19),"",INDEX(INDIRECT(MS21),MATCH(BasketballSkalawert[[#This Row],[Skala-Wert]],INDIRECT(MP21),0)))</f>
        <v/>
      </c>
      <c r="MU21" s="31"/>
      <c r="MV21" s="37"/>
      <c r="MW21" s="190"/>
      <c r="MX21" s="586">
        <f>IF(MX$16,IF(MY$16=0.5,MROUND(FussballResultat[[#This Row],[Resultat]],MY$16),ROUND(FussballResultat[[#This Row],[Resultat]],MY$16)),ROUNDDOWN(FussballResultat[[#This Row],[Resultat]],MY$16))</f>
        <v>0</v>
      </c>
      <c r="MY21" s="191" t="str">
        <f>IF(OR(Geschlecht[[#This Row],[Geschlecht (Skala)]]="",MV$16=""),"",MID(Geschlecht[[#This Row],[Geschlecht (Skala)]],1,1)&amp;MID(MV$16,1,1))</f>
        <v/>
      </c>
      <c r="MZ21" s="190" t="str">
        <f>IF(OR(MY21="",FussballResultat[[#This Row],[Resultat]]=""),"",REPLACE(INDEX(StdDisziplinen[TabÜberschriftResultat],MV$3),FIND("X",INDEX(StdDisziplinen[TabÜberschriftResultat],MV$3),1),2,MY21))</f>
        <v/>
      </c>
      <c r="NA21" s="31" t="str">
        <f ca="1">IF(MZ21="","",IF(OR(FussballResultat[[#This Row],[Resultat]]=Stammdaten!$AX$22,FussballResultat[[#This Row],[Resultat]]=Stammdaten!$AX$19),Stammdaten!$AX$19,IF(ISNA(INDEX(INDIRECT(MZ21),MATCH(FussballGerundet[[#This Row],[Rundung]],INDIRECT(MZ21),MZ$18))),IF(MZ$18=-1,LARGE(INDIRECT(MZ21),1),SMALL(INDIRECT(MZ21),1)),INDEX(INDIRECT(MZ21),MATCH(FussballGerundet[[#This Row],[Rundung]],INDIRECT(MZ21),MZ$18)))))</f>
        <v/>
      </c>
      <c r="NC21" s="18" t="str">
        <f ca="1">IF(FussballSkalawert[[#This Row],[Skala-Wert]]="","",REPLACE(INDEX(StdDisziplinen[TabÜberschriftNote],MV$3),FIND("X",INDEX(StdDisziplinen[TabÜberschriftNote],MV$3),1),2,MY21))</f>
        <v/>
      </c>
      <c r="ND21" s="31" t="str">
        <f ca="1">IF(OR(NC21="",FussballSkalawert[[#This Row],[Skala-Wert]]=Stammdaten!$AX$19),"",INDEX(INDIRECT(NC21),MATCH(FussballSkalawert[[#This Row],[Skala-Wert]],INDIRECT(MZ21),0)))</f>
        <v/>
      </c>
      <c r="NE21" s="31"/>
      <c r="NF21" s="37"/>
      <c r="NG21" s="190"/>
      <c r="NH21" s="586">
        <f>IF(NH$16,IF(NI$16=0.5,MROUND(HandballResultat[[#This Row],[Resultat]],NI$16),ROUND(HandballResultat[[#This Row],[Resultat]],NI$16)),ROUNDDOWN(HandballResultat[[#This Row],[Resultat]],NI$16))</f>
        <v>0</v>
      </c>
      <c r="NI21" s="191" t="str">
        <f>IF(OR(Geschlecht[[#This Row],[Geschlecht (Skala)]]="",NF$16=""),"",MID(Geschlecht[[#This Row],[Geschlecht (Skala)]],1,1)&amp;MID(NF$16,1,1))</f>
        <v/>
      </c>
      <c r="NJ21" s="190" t="str">
        <f>IF(OR(NI21="",HandballResultat[[#This Row],[Resultat]]=""),"",REPLACE(INDEX(StdDisziplinen[TabÜberschriftResultat],NF$3),FIND("X",INDEX(StdDisziplinen[TabÜberschriftResultat],NF$3),1),2,NI21))</f>
        <v/>
      </c>
      <c r="NK21" s="31" t="str">
        <f ca="1">IF(NJ21="","",IF(OR(HandballResultat[[#This Row],[Resultat]]=Stammdaten!$AX$22,HandballResultat[[#This Row],[Resultat]]=Stammdaten!$AX$19),Stammdaten!$AX$19,IF(ISNA(INDEX(INDIRECT(NJ21),MATCH(HandballGerundet[[#This Row],[Rundung]],INDIRECT(NJ21),NJ$18))),IF(NJ$18=-1,LARGE(INDIRECT(NJ21),1),SMALL(INDIRECT(NJ21),1)),INDEX(INDIRECT(NJ21),MATCH(HandballGerundet[[#This Row],[Rundung]],INDIRECT(NJ21),NJ$18)))))</f>
        <v/>
      </c>
      <c r="NM21" s="18" t="str">
        <f ca="1">IF(HandballSkalawert[[#This Row],[Skala-Wert]]="","",REPLACE(INDEX(StdDisziplinen[TabÜberschriftNote],NF$3),FIND("X",INDEX(StdDisziplinen[TabÜberschriftNote],NF$3),1),2,NI21))</f>
        <v/>
      </c>
      <c r="NN21" s="31" t="str">
        <f ca="1">IF(OR(NM21="",HandballSkalawert[[#This Row],[Skala-Wert]]=Stammdaten!$AX$19),"",INDEX(INDIRECT(NM21),MATCH(HandballSkalawert[[#This Row],[Skala-Wert]],INDIRECT(NJ21),0)))</f>
        <v/>
      </c>
      <c r="NO21" s="31"/>
      <c r="NP21" s="37"/>
      <c r="NQ21" s="190"/>
      <c r="NR21" s="586">
        <f>IF(NR$16,IF(NS$16=0.5,MROUND(UnihockeyResultat[[#This Row],[Resultat]],NS$16),ROUND(UnihockeyResultat[[#This Row],[Resultat]],NS$16)),ROUNDDOWN(UnihockeyResultat[[#This Row],[Resultat]],NS$16))</f>
        <v>0</v>
      </c>
      <c r="NS21" s="191" t="str">
        <f>IF(OR(Geschlecht[[#This Row],[Geschlecht (Skala)]]="",NP$16=""),"",MID(Geschlecht[[#This Row],[Geschlecht (Skala)]],1,1)&amp;MID(NP$16,1,1))</f>
        <v/>
      </c>
      <c r="NT21" s="190" t="str">
        <f>IF(OR(NS21="",UnihockeyResultat[[#This Row],[Resultat]]=""),"",REPLACE(INDEX(StdDisziplinen[TabÜberschriftResultat],NP$3),FIND("X",INDEX(StdDisziplinen[TabÜberschriftResultat],NP$3),1),2,NS21))</f>
        <v/>
      </c>
      <c r="NU21" s="31" t="str">
        <f ca="1">IF(NT21="","",IF(OR(UnihockeyResultat[[#This Row],[Resultat]]=Stammdaten!$AX$22,UnihockeyResultat[[#This Row],[Resultat]]=Stammdaten!$AX$19),Stammdaten!$AX$19,IF(ISNA(INDEX(INDIRECT(NT21),MATCH(UnihockeyGerundet[[#This Row],[Rundung]],INDIRECT(NT21),NT$18))),IF(NT$18=-1,LARGE(INDIRECT(NT21),1),SMALL(INDIRECT(NT21),1)),INDEX(INDIRECT(NT21),MATCH(UnihockeyGerundet[[#This Row],[Rundung]],INDIRECT(NT21),NT$18)))))</f>
        <v/>
      </c>
      <c r="NW21" s="18" t="str">
        <f ca="1">IF(UnihockeySkalawert[[#This Row],[Skala-Wert]]="","",REPLACE(INDEX(StdDisziplinen[TabÜberschriftNote],NP$3),FIND("X",INDEX(StdDisziplinen[TabÜberschriftNote],NP$3),1),2,NS21))</f>
        <v/>
      </c>
      <c r="NX21" s="31" t="str">
        <f ca="1">IF(OR(NW21="",UnihockeySkalawert[[#This Row],[Skala-Wert]]=Stammdaten!$AX$19),"",INDEX(INDIRECT(NW21),MATCH(UnihockeySkalawert[[#This Row],[Skala-Wert]],INDIRECT(NT21),0)))</f>
        <v/>
      </c>
      <c r="NY21" s="31"/>
      <c r="NZ21" s="597"/>
      <c r="OA21" s="190"/>
      <c r="OB21" s="587">
        <f>IF(OB$16,IF(OC$16=0.5,MROUND(VolleyballResultat[[#This Row],[Resultat]],OC$16),ROUND(VolleyballResultat[[#This Row],[Resultat]],OC$16)),ROUNDDOWN(VolleyballResultat[[#This Row],[Resultat]],OC$16))</f>
        <v>0</v>
      </c>
      <c r="OC21" s="191" t="str">
        <f>IF(OR(Geschlecht[[#This Row],[Geschlecht (Skala)]]="",NZ$16=""),"",MID(Geschlecht[[#This Row],[Geschlecht (Skala)]],1,1)&amp;MID(NZ$16,1,1))</f>
        <v/>
      </c>
      <c r="OD21" s="190" t="str">
        <f>IF(OR(OC21="",VolleyballResultat[[#This Row],[Resultat]]=""),"",REPLACE(INDEX(StdDisziplinen[TabÜberschriftResultat],NZ$3),FIND("X",INDEX(StdDisziplinen[TabÜberschriftResultat],NZ$3),1),2,OC21))</f>
        <v/>
      </c>
      <c r="OE21" s="192" t="str">
        <f ca="1">IF(OD21="","",IF(OR(VolleyballResultat[[#This Row],[Resultat]]=Stammdaten!$AX$22,VolleyballResultat[[#This Row],[Resultat]]=Stammdaten!$AX$19),Stammdaten!$AX$19,IF(ISNA(INDEX(INDIRECT(OD21),MATCH(VolleyballGerundet[[#This Row],[Rundung]],INDIRECT(OD21),OD$18))),IF(OD$18=-1,LARGE(INDIRECT(OD21),1),SMALL(INDIRECT(OD21),1)),INDEX(INDIRECT(OD21),MATCH(VolleyballGerundet[[#This Row],[Rundung]],INDIRECT(OD21),OD$18)))))</f>
        <v/>
      </c>
      <c r="OG21" s="18" t="str">
        <f ca="1">IF(VolleyballSkalawert[[#This Row],[Skala-Wert]]="","",REPLACE(INDEX(StdDisziplinen[TabÜberschriftNote],NZ$3),FIND("X",INDEX(StdDisziplinen[TabÜberschriftNote],NZ$3),1),2,OC21))</f>
        <v/>
      </c>
      <c r="OH21" s="31" t="str">
        <f ca="1">IF(OR(OG21="",VolleyballSkalawert[[#This Row],[Skala-Wert]]=Stammdaten!$AX$19),"",INDEX(INDIRECT(OG21),MATCH(VolleyballSkalawert[[#This Row],[Skala-Wert]],INDIRECT(OD21),0)))</f>
        <v/>
      </c>
      <c r="OI21" s="45"/>
      <c r="OJ21" s="31">
        <f ca="1">IF(BasketballSkalawert[[#This Row],[Skala-Wert]]=$A$3,$A$2,IF(BasketballNote[[#This Row],[Note]]="",0,BasketballNote[[#This Row],[Note]]))</f>
        <v>0</v>
      </c>
      <c r="OK21" s="31">
        <f ca="1">IF(FussballSkalawert[[#This Row],[Skala-Wert]]=$A$3,$A$2,IF(FussballNote[[#This Row],[Note]]="",0,FussballNote[[#This Row],[Note]]))</f>
        <v>0</v>
      </c>
      <c r="OL21" s="31">
        <f ca="1">IF(HandballSkalawert[[#This Row],[Skala-Wert]]=$A$3,$A$2,IF(HandballNote[[#This Row],[Note]]="",0,HandballNote[[#This Row],[Note]]))</f>
        <v>0</v>
      </c>
      <c r="OM21" s="31">
        <f ca="1">IF(UnihockeySkalawert[[#This Row],[Skala-Wert]]=$A$3,$A$2,IF(UnihockeyNote[[#This Row],[Note]]="",0,UnihockeyNote[[#This Row],[Note]]))</f>
        <v>0</v>
      </c>
      <c r="ON21" s="31">
        <f ca="1">IF(VolleyballSkalawert[[#This Row],[Skala-Wert]]=$A$3,$A$2,IF(VolleyballNote[[#This Row],[Note]]="",0,VolleyballNote[[#This Row],[Note]]))</f>
        <v>0</v>
      </c>
      <c r="OO21" s="202">
        <f t="shared" ca="1" si="28"/>
        <v>0</v>
      </c>
      <c r="OP21" s="202">
        <f t="shared" ca="1" si="29"/>
        <v>0</v>
      </c>
      <c r="OQ21" s="202">
        <f t="shared" ca="1" si="143"/>
        <v>0</v>
      </c>
      <c r="OR21" s="96" t="str">
        <f t="shared" ca="1" si="144"/>
        <v>!</v>
      </c>
      <c r="OS21" s="96" t="str">
        <f t="shared" ca="1" si="30"/>
        <v>!</v>
      </c>
      <c r="OT21" s="96" t="str">
        <f t="shared" ca="1" si="31"/>
        <v>!</v>
      </c>
      <c r="OU21" s="96" t="str">
        <f ca="1">IF(NOT(OQ21),INDEX(StdFehler[StdFehler],4),IF(COUNTIF(OR21:OT21,$A$2)&gt;=$OQ$13,$A$3,ROUND(AVERAGE(OR21:OT21)/$RX$4,0)*$RX$4))</f>
        <v>Zu wenige Noten</v>
      </c>
      <c r="OV21" s="244" t="str">
        <f t="shared" ca="1" si="145"/>
        <v>nd</v>
      </c>
      <c r="OW21" s="244" t="str">
        <f t="shared" ca="1" si="146"/>
        <v>nd</v>
      </c>
      <c r="OX21" s="244" t="str">
        <f t="shared" ca="1" si="147"/>
        <v>nd</v>
      </c>
      <c r="OY21" s="244" t="str">
        <f t="shared" ca="1" si="148"/>
        <v>nd</v>
      </c>
      <c r="OZ21" s="244" t="str">
        <f t="shared" ca="1" si="149"/>
        <v>nd</v>
      </c>
      <c r="PA21" s="202" t="b">
        <f t="shared" ca="1" si="150"/>
        <v>0</v>
      </c>
      <c r="PB21" s="202">
        <f t="shared" ca="1" si="151"/>
        <v>1</v>
      </c>
      <c r="PC21" s="202">
        <f t="shared" ca="1" si="152"/>
        <v>0</v>
      </c>
      <c r="PD21" s="96" t="str">
        <f t="shared" ca="1" si="153"/>
        <v/>
      </c>
      <c r="PE21" s="96" t="str">
        <f t="shared" ca="1" si="154"/>
        <v/>
      </c>
      <c r="PF21" s="200">
        <f t="shared" ca="1" si="155"/>
        <v>0</v>
      </c>
      <c r="PG21" s="202" t="str">
        <f t="shared" ca="1" si="156"/>
        <v/>
      </c>
      <c r="PH21" s="200" t="str">
        <f t="shared" ca="1" si="157"/>
        <v/>
      </c>
      <c r="PI21" s="200" t="str">
        <f t="shared" ca="1" si="158"/>
        <v/>
      </c>
      <c r="PJ21" s="200" t="str">
        <f t="shared" ca="1" si="159"/>
        <v/>
      </c>
      <c r="PK21" s="242" t="str">
        <f t="shared" ca="1" si="160"/>
        <v/>
      </c>
      <c r="PL21" s="242" t="str">
        <f t="shared" ca="1" si="161"/>
        <v/>
      </c>
      <c r="PM21" s="242" t="str">
        <f t="shared" ca="1" si="162"/>
        <v/>
      </c>
      <c r="PN21" s="242" t="str">
        <f t="shared" ca="1" si="163"/>
        <v>Erste Spielsportart</v>
      </c>
      <c r="PO21" s="242" t="str">
        <f ca="1">IF(PN21=$PM$11,Stammdaten!$AY$27,IF(PR21=$A$2,TRIM(Stammdaten!$AX$25),""))</f>
        <v>nicht durchgeführt</v>
      </c>
      <c r="PP21" s="242" t="str">
        <f t="shared" ca="1" si="164"/>
        <v/>
      </c>
      <c r="PQ21" s="202" t="str">
        <f t="shared" ca="1" si="165"/>
        <v>Erste SpielsportartResultat[@Resultat]</v>
      </c>
      <c r="PR21" s="98" t="str">
        <f t="shared" ca="1" si="166"/>
        <v/>
      </c>
      <c r="PS21" s="202" t="str">
        <f t="shared" ca="1" si="167"/>
        <v/>
      </c>
      <c r="PT21" s="202" t="str">
        <f t="shared" ca="1" si="168"/>
        <v>Erste SpielsportartSkalawert[@[Skala-Wert]]</v>
      </c>
      <c r="PU21" s="98" t="str">
        <f t="shared" ca="1" si="169"/>
        <v/>
      </c>
      <c r="PV21" s="202" t="str">
        <f t="shared" ca="1" si="170"/>
        <v/>
      </c>
      <c r="PW21" s="202" t="str">
        <f t="shared" ca="1" si="171"/>
        <v/>
      </c>
      <c r="PX21" s="202" t="str">
        <f t="shared" ca="1" si="172"/>
        <v>StdDisziplinen[MaxTextSt]</v>
      </c>
      <c r="PY21" s="202" t="str">
        <f t="shared" ca="1" si="173"/>
        <v/>
      </c>
      <c r="PZ21" s="202" t="b">
        <f t="shared" ca="1" si="174"/>
        <v>0</v>
      </c>
      <c r="QA21" s="202" t="str">
        <f t="shared" ca="1" si="175"/>
        <v/>
      </c>
      <c r="QB21" s="202" t="str">
        <f t="shared" ca="1" si="32"/>
        <v/>
      </c>
      <c r="QC21" s="202" t="str">
        <f t="shared" ca="1" si="176"/>
        <v/>
      </c>
      <c r="QD21" s="202" t="str">
        <f t="shared" ca="1" si="177"/>
        <v/>
      </c>
      <c r="QE21" s="242" t="str">
        <f t="shared" ca="1" si="178"/>
        <v/>
      </c>
      <c r="QF21" s="242" t="str">
        <f t="shared" ca="1" si="179"/>
        <v/>
      </c>
      <c r="QG21" s="242" t="str">
        <f t="shared" ca="1" si="180"/>
        <v>Zweite Spielsportart</v>
      </c>
      <c r="QH21" s="242" t="str">
        <f ca="1">IF(QG21=$QF$11,Stammdaten!$AY$27,IF(QK21=$A$2,TRIM(Stammdaten!$AX$25),""))</f>
        <v>nicht durchgeführt</v>
      </c>
      <c r="QI21" s="242" t="str">
        <f t="shared" ca="1" si="181"/>
        <v/>
      </c>
      <c r="QJ21" s="202" t="str">
        <f t="shared" ca="1" si="182"/>
        <v>Zweite SpielsportartResultat[@Resultat]</v>
      </c>
      <c r="QK21" s="98" t="str">
        <f t="shared" ca="1" si="183"/>
        <v/>
      </c>
      <c r="QL21" s="202" t="str">
        <f t="shared" ca="1" si="184"/>
        <v/>
      </c>
      <c r="QM21" s="202" t="str">
        <f t="shared" ca="1" si="185"/>
        <v>Zweite SpielsportartSkalawert[@[Skala-Wert]]</v>
      </c>
      <c r="QN21" s="98" t="str">
        <f t="shared" ca="1" si="186"/>
        <v/>
      </c>
      <c r="QO21" s="202" t="str">
        <f t="shared" ca="1" si="187"/>
        <v/>
      </c>
      <c r="QP21" s="202" t="str">
        <f t="shared" ca="1" si="188"/>
        <v/>
      </c>
      <c r="QQ21" s="202" t="str">
        <f t="shared" ca="1" si="189"/>
        <v>StdDisziplinen[MaxTextSt]</v>
      </c>
      <c r="QR21" s="202" t="str">
        <f t="shared" ca="1" si="190"/>
        <v/>
      </c>
      <c r="QS21" s="202" t="b">
        <f t="shared" ca="1" si="191"/>
        <v>0</v>
      </c>
      <c r="QT21" s="242" t="str">
        <f t="shared" ca="1" si="33"/>
        <v>Dritte Spielsportart</v>
      </c>
      <c r="QU21" s="242" t="str">
        <f ca="1">IF(QT21=$QT$11,MID(Stammdaten!$AX$27,2,LEN(Stammdaten!$AX$27)),IF(QX21=$A$2,TRIM(Stammdaten!$AX$25),""))</f>
        <v>nicht durchgeführt</v>
      </c>
      <c r="QV21" s="242" t="str">
        <f t="shared" ca="1" si="34"/>
        <v/>
      </c>
      <c r="QW21" s="202" t="str">
        <f t="shared" ca="1" si="192"/>
        <v>Dritte SpielsportartResultat[@Resultat]</v>
      </c>
      <c r="QX21" s="98" t="str">
        <f t="shared" ca="1" si="193"/>
        <v/>
      </c>
      <c r="QY21" s="202" t="str">
        <f t="shared" ca="1" si="35"/>
        <v/>
      </c>
      <c r="QZ21" s="202" t="str">
        <f t="shared" ca="1" si="194"/>
        <v>Dritte SpielsportartSkalawert[@[Skala-Wert]]</v>
      </c>
      <c r="RA21" s="98" t="str">
        <f t="shared" ca="1" si="195"/>
        <v/>
      </c>
      <c r="RB21" s="202" t="str">
        <f t="shared" ca="1" si="36"/>
        <v/>
      </c>
      <c r="RC21" s="202" t="str">
        <f t="shared" ca="1" si="196"/>
        <v/>
      </c>
      <c r="RD21" s="202" t="str">
        <f t="shared" ca="1" si="197"/>
        <v>StdDisziplinen[MaxTextSt]</v>
      </c>
      <c r="RE21" s="202" t="str">
        <f t="shared" ca="1" si="37"/>
        <v/>
      </c>
      <c r="RF21" s="244">
        <f t="shared" ca="1" si="38"/>
        <v>99</v>
      </c>
      <c r="RG21" s="244">
        <f t="shared" ca="1" si="39"/>
        <v>99</v>
      </c>
      <c r="RH21" s="244">
        <f t="shared" ca="1" si="40"/>
        <v>99</v>
      </c>
      <c r="RI21" s="244">
        <f t="shared" ca="1" si="41"/>
        <v>99</v>
      </c>
      <c r="RJ21" s="244">
        <f t="shared" ca="1" si="42"/>
        <v>99</v>
      </c>
      <c r="RK21" s="244">
        <f t="shared" ca="1" si="198"/>
        <v>99</v>
      </c>
      <c r="RL21" s="244">
        <f t="shared" ca="1" si="199"/>
        <v>99</v>
      </c>
      <c r="RM21" s="244">
        <f t="shared" ca="1" si="200"/>
        <v>99</v>
      </c>
      <c r="RN21" s="244">
        <f t="shared" ca="1" si="201"/>
        <v>99</v>
      </c>
      <c r="RO21" s="244">
        <f t="shared" ca="1" si="202"/>
        <v>99</v>
      </c>
      <c r="RP21" s="202" t="str">
        <f t="shared" ca="1" si="43"/>
        <v>Zu wenige Noten</v>
      </c>
      <c r="RQ21" s="202" t="str">
        <f t="shared" ca="1" si="203"/>
        <v>Zu wenige Noten</v>
      </c>
      <c r="RR21" s="202" t="str">
        <f t="shared" ca="1" si="203"/>
        <v>Zu wenige Noten</v>
      </c>
      <c r="RS21" s="202" t="str">
        <f t="shared" ca="1" si="204"/>
        <v>Zu wenige Noten</v>
      </c>
      <c r="RT21" s="202" t="str">
        <f t="shared" ca="1" si="204"/>
        <v>Zu wenige Noten</v>
      </c>
      <c r="RU21" s="202" t="str">
        <f t="shared" ca="1" si="205"/>
        <v>Zu wenige Noten</v>
      </c>
      <c r="RV21" s="202" t="str">
        <f t="shared" ca="1" si="206"/>
        <v>Zu wenige Noten</v>
      </c>
      <c r="RW21" s="31"/>
      <c r="RX21" s="56" t="str">
        <f t="shared" ca="1" si="44"/>
        <v>Zu wenige Noten</v>
      </c>
      <c r="RY21" s="31"/>
      <c r="RZ21" s="31" t="str">
        <f t="shared" ca="1" si="45"/>
        <v>Zu wenige Noten</v>
      </c>
      <c r="SA21" s="31" t="str">
        <f t="shared" ca="1" si="46"/>
        <v>Zu wenige Noten</v>
      </c>
      <c r="SB21" s="45" t="str">
        <f t="shared" ca="1" si="47"/>
        <v>Zu wenige Noten</v>
      </c>
      <c r="SC21" s="31" t="str">
        <f t="shared" ca="1" si="207"/>
        <v>Zu wenige Noten</v>
      </c>
      <c r="SD21" s="31" t="str">
        <f t="shared" ca="1" si="208"/>
        <v>Zu wenige Noten</v>
      </c>
      <c r="SE21" s="31" t="str">
        <f t="shared" ca="1" si="48"/>
        <v>Zu wenige Noten</v>
      </c>
      <c r="SF21" s="31" t="str">
        <f t="shared" ca="1" si="209"/>
        <v>Zu wenige Noten</v>
      </c>
      <c r="SG21" s="31" t="str">
        <f t="shared" ca="1" si="48"/>
        <v>Zu wenige Noten</v>
      </c>
      <c r="SH21" s="36">
        <f t="shared" ca="1" si="210"/>
        <v>0</v>
      </c>
      <c r="SI21" s="36">
        <f t="shared" ca="1" si="211"/>
        <v>0</v>
      </c>
      <c r="SJ21" s="36">
        <f t="shared" ca="1" si="212"/>
        <v>0</v>
      </c>
      <c r="SK21" s="31">
        <f t="shared" ca="1" si="213"/>
        <v>99</v>
      </c>
      <c r="SL21" s="31">
        <f t="shared" ca="1" si="214"/>
        <v>99</v>
      </c>
      <c r="SM21" s="36" t="str">
        <f t="shared" ca="1" si="215"/>
        <v>99.0</v>
      </c>
      <c r="SN21" s="31">
        <f t="shared" ca="1" si="216"/>
        <v>99</v>
      </c>
      <c r="SO21" s="36" t="str">
        <f ca="1">IF(NOT(SJ21),INDEX(StdFehler[StdFehler],4),IF(SI21=$SJ$13,$A$3,CONCATENATE(TEXT(SK21,"#.0"),", ",TEXT(SL21,"#.0"),", ",SM21,", ",TEXT(SN21,"#.0"))))</f>
        <v>Zu wenige Noten</v>
      </c>
      <c r="SP21" s="36" t="str">
        <f t="shared" ca="1" si="49"/>
        <v>Zu wenige Noten</v>
      </c>
      <c r="SQ21" s="36" t="str">
        <f t="shared" ca="1" si="49"/>
        <v>Zu wenige Noten</v>
      </c>
      <c r="SR21" s="36" t="str">
        <f t="shared" ca="1" si="49"/>
        <v>Zu wenige Noten</v>
      </c>
      <c r="SS21" s="36" t="str">
        <f t="shared" ca="1" si="49"/>
        <v>Zu wenige Noten</v>
      </c>
      <c r="ST21" s="36" t="str">
        <f t="shared" ca="1" si="217"/>
        <v>Zu wenige Noten</v>
      </c>
      <c r="SU21" s="36"/>
      <c r="SV21" s="214" t="str">
        <f t="shared" si="218"/>
        <v>D</v>
      </c>
      <c r="SW21" s="36"/>
      <c r="SX21" s="214" t="str">
        <f t="shared" si="219"/>
        <v>D</v>
      </c>
      <c r="SY21" s="36"/>
      <c r="SZ21" s="214" t="str">
        <f t="shared" si="220"/>
        <v>D</v>
      </c>
      <c r="TA21" s="36"/>
      <c r="TB21" s="214" t="str">
        <f t="shared" si="221"/>
        <v>D</v>
      </c>
      <c r="TC21" s="31"/>
      <c r="TD21" s="36" t="str">
        <f t="shared" ca="1" si="222"/>
        <v>Zu wenige Noten</v>
      </c>
      <c r="TE21" s="31"/>
      <c r="TF21" s="193" t="str">
        <f ca="1">IF(NOT(SJ21),INDEX(StdFehler[StdFehler],4),IF(SI21=$TF$4,$A$3,ROUND(AVERAGE(RZ21:SC21)/$TF$5,0)*$TF$5))</f>
        <v>Zu wenige Noten</v>
      </c>
      <c r="TH21" s="595" t="str">
        <f>IF(OR($TH$18=Stammdaten!$AX$20,$TH$18=""),Stammdaten!$AX$20,$TH$18)</f>
        <v>Disziplin</v>
      </c>
      <c r="TI21" s="33"/>
      <c r="TJ21" s="33" t="str">
        <f>IF(OR(Geschlecht[[#This Row],[Geschlecht (Skala)]]="",TH21="",TH21=Stammdaten!$AX$20),"",REPLACE(INDEX(StdDisziplinen[TabÜberschriftResultat],TH$3),FIND("XX",INDEX(StdDisziplinen[TabÜberschriftResultat],TH$3),1),2,Geschlecht[[#This Row],[Geschlecht (Skala)]]))</f>
        <v/>
      </c>
      <c r="TK21" s="596"/>
      <c r="TM21" s="37"/>
      <c r="TN21" s="40"/>
      <c r="TO21" s="587">
        <f>IF(TO$16,IF(TP$16=0.5,MROUND(SchwimmenResultat[[#This Row],[Resultat]],TP$16),ROUND(SchwimmenResultat[[#This Row],[Resultat]],TP$16)),ROUNDDOWN(SchwimmenResultat[[#This Row],[Resultat]],TP$16))</f>
        <v>0</v>
      </c>
      <c r="TP21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1" s="153" t="str">
        <f ca="1">IF(TP21="","",IF(OR(SchwimmenResultat[[#This Row],[Resultat]]=Stammdaten!$AX$22,SchwimmenResultat[[#This Row],[Resultat]]=Stammdaten!$AX$19),Stammdaten!$AX$19,IF(ISNA(INDEX(INDIRECT(TP21),MATCH(SchwimmenGerundet[[#This Row],[Rundung]],INDIRECT(TP21),TP$18))),IF(TP$18=-1,LARGE(INDIRECT(TP21),1),SMALL(INDIRECT(TP21),1)),INDEX(INDIRECT(TP21),MATCH(SchwimmenGerundet[[#This Row],[Rundung]],INDIRECT(TP21),TP$18)))))</f>
        <v/>
      </c>
      <c r="TS21" s="33" t="str">
        <f>IF(OR(TP21="",SchwimmenResultat[[#This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T21" s="36" t="str">
        <f ca="1">IF(OR(TS21="",SchwimmenSkalawert[[#This Row],[Skala-Wert]]=Stammdaten!$AX$19),"",INDEX(INDIRECT(TS21),MATCH(SchwimmenSkalawert[[#This Row],[Skala-Wert]],INDIRECT(TP21),0)))</f>
        <v/>
      </c>
      <c r="TU21" s="36"/>
      <c r="TV21" s="190" t="str">
        <f>IF(ZwölfMinLaufHalleResultat[[#This Row],[Resultat]]=0,"",ZwölfMinLaufHalleResultat[[#This Row],[Resultat]])</f>
        <v/>
      </c>
      <c r="TW21" s="190"/>
      <c r="TX21" s="31" t="str">
        <f ca="1">ZwölfMinLaufHalleSkalawert[[#This Row],[Skala-Wert]]</f>
        <v/>
      </c>
      <c r="TZ21" s="31" t="str">
        <f ca="1">ZwölfMinLaufHalleNote[[#This Row],[Note]]</f>
        <v/>
      </c>
      <c r="UA21" s="31"/>
      <c r="UB21" s="190" t="str">
        <f>IF(ZwölfMinLaufimFreienResultat[[#This Row],[Resultat]]=0,"",ZwölfMinLaufimFreienResultat[[#This Row],[Resultat]])</f>
        <v/>
      </c>
      <c r="UC21" s="190"/>
      <c r="UD21" s="192" t="str">
        <f ca="1">ZwölfMinLaufimFreienSkalawert[[#This Row],[Skala-Wert]]</f>
        <v/>
      </c>
      <c r="UF21" s="31" t="str">
        <f ca="1">ZwölfMinLaufimFreienNote[[#This Row],[Note]]</f>
        <v/>
      </c>
      <c r="UG21" s="31"/>
      <c r="UH21" s="597"/>
      <c r="UI21" s="190"/>
      <c r="UJ21" s="587">
        <f>IF(UJ$16,IF(UK$16=0.5,MROUND(BeweglichkeitResultat[[#This Row],[Resultat]],UK$16),ROUND(BeweglichkeitResultat[[#This Row],[Resultat]],UK$16)),ROUNDDOWN(BeweglichkeitResultat[[#This Row],[Resultat]],UK$16))</f>
        <v>0</v>
      </c>
      <c r="UK21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1" s="192" t="str">
        <f ca="1">IF(UK21="","",IF(OR(BeweglichkeitResultat[[#This Row],[Resultat]]=Stammdaten!$AX$22,BeweglichkeitResultat[[#This Row],[Resultat]]=Stammdaten!$AX$19),Stammdaten!$AX$19,IF(ISNA(INDEX(INDIRECT(UK21),MATCH(BeweglichkeitGerundet[[#This Row],[Rundung]],INDIRECT(UK21),UK$18))),IF(UK$18=-1,LARGE(INDIRECT(UK21),1),SMALL(INDIRECT(UK21),1)),INDEX(INDIRECT(UK21),MATCH(BeweglichkeitGerundet[[#This Row],[Rundung]],INDIRECT(UK21),UK$18)))))</f>
        <v/>
      </c>
      <c r="UN21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1" s="36" t="str">
        <f ca="1">IF(OR(UK21="",BeweglichkeitSkalawert[[#This Row],[Skala-Wert]]=Stammdaten!$AX$19),"",INDEX(INDIRECT(UN21),MATCH(BeweglichkeitSkalawert[[#This Row],[Skala-Wert]],INDIRECT(UK21),0)))</f>
        <v/>
      </c>
      <c r="UP21" s="31"/>
      <c r="UQ21" s="597"/>
      <c r="UR21" s="190"/>
      <c r="US21" s="587">
        <f>IF(US$16,IF(UT$16=0.5,MROUND(RumpfkraftResultat[[#This Row],[Resultat]],UT$16),ROUND(RumpfkraftResultat[[#This Row],[Resultat]],UT$16)),ROUNDDOWN(RumpfkraftResultat[[#This Row],[Resultat]],UT$16))</f>
        <v>0</v>
      </c>
      <c r="UT21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1" s="192" t="str">
        <f ca="1">IF(UT21="","",IF(OR(RumpfkraftResultat[[#This Row],[Resultat]]=Stammdaten!$AX$22,RumpfkraftResultat[[#This Row],[Resultat]]=Stammdaten!$AX$19),Stammdaten!$AX$19,IF(ISNA(INDEX(INDIRECT(UT21),MATCH(RumpfkraftGerundet[[#This Row],[Rundung]],INDIRECT(UT21),UT$18))),IF(UT$18=-1,LARGE(INDIRECT(UT21),1),SMALL(INDIRECT(UT21),1)),INDEX(INDIRECT(UT21),MATCH(RumpfkraftGerundet[[#This Row],[Rundung]],INDIRECT(UT21),UT$18)))))</f>
        <v/>
      </c>
      <c r="UW21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1" s="36" t="str">
        <f ca="1">IF(OR(UT21="",RumpfkraftSkalawert[[#This Row],[Skala-Wert]]=Stammdaten!$AX$19),"",INDEX(INDIRECT(UW21),MATCH(RumpfkraftSkalawert[[#This Row],[Skala-Wert]],INDIRECT(UT21),0)))</f>
        <v/>
      </c>
      <c r="UY21" s="31"/>
      <c r="UZ21" s="190" t="str">
        <f>IF(SechzigmLaufResultat[[#This Row],[Resultat]]=0,"",SechzigmLaufResultat[[#This Row],[Resultat]])</f>
        <v/>
      </c>
      <c r="VA21" s="190"/>
      <c r="VB21" s="45" t="str">
        <f ca="1">SechzigmLaufSkalawert[[#This Row],[Skala-Wert]]</f>
        <v/>
      </c>
      <c r="VD21" s="31" t="str">
        <f ca="1">SechzigmLaufNote[[#This Row],[Note]]</f>
        <v/>
      </c>
      <c r="VE21" s="31"/>
      <c r="VF21" s="190" t="str">
        <f>IF(AchtzigmLaufResultat[[#This Row],[Resultat]]=0,"",AchtzigmLaufResultat[[#This Row],[Resultat]])</f>
        <v/>
      </c>
      <c r="VG21" s="190"/>
      <c r="VH21" s="45" t="str">
        <f ca="1">AchtzigmLaufSkalawert[[#This Row],[Skala-Wert]]</f>
        <v/>
      </c>
      <c r="VJ21" s="31" t="str">
        <f ca="1">AchtzigmLaufNote[[#This Row],[Note]]</f>
        <v/>
      </c>
      <c r="VK21" s="31"/>
      <c r="VL21" s="37"/>
      <c r="VM21" s="190"/>
      <c r="VN21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1" s="191" t="str">
        <f>IF(OR(Geschlecht[[#This Row],[Geschlecht (Skala)]]="",VL$16=""),"",MID(Geschlecht[[#This Row],[Geschlecht (Skala)]],1,1)&amp;MID(VL$16,1,1))</f>
        <v/>
      </c>
      <c r="VP21" s="190" t="str">
        <f>IF(OR(VO21="",KonditionsparcoursResultat[[#This Row],[Resultat]]=""),"",REPLACE(INDEX(StdDisziplinen[TabÜberschriftResultat],VL$3),FIND("X",INDEX(StdDisziplinen[TabÜberschriftResultat],VL$3),1),2,VO21))</f>
        <v/>
      </c>
      <c r="VQ21" s="192" t="str">
        <f ca="1">IF(VP21="","",IF(OR(KonditionsparcoursResultat[[#This Row],[Resultat]]=Stammdaten!$AX$22,KonditionsparcoursResultat[[#This Row],[Resultat]]=Stammdaten!$AX$19),Stammdaten!$AX$19,IF(ISNA(INDEX(INDIRECT(VP21),MATCH(KonditionsparcoursGerundet[[#This Row],[Rundung]],INDIRECT(VP21),VP$18))),IF(VP$18=-1,LARGE(INDIRECT(VP21),1),SMALL(INDIRECT(VP21),1)),INDEX(INDIRECT(VP21),MATCH(KonditionsparcoursGerundet[[#This Row],[Rundung]],INDIRECT(VP21),VP$18)))))</f>
        <v/>
      </c>
      <c r="VS21" s="18" t="str">
        <f ca="1">IF(KonditionsparcoursSkalawert[[#This Row],[Skala-Wert]]="","",REPLACE(INDEX(StdDisziplinen[TabÜberschriftNote],VL$3),FIND("X",INDEX(StdDisziplinen[TabÜberschriftNote],VL$3),1),2,VO21))</f>
        <v/>
      </c>
      <c r="VT21" s="31" t="str">
        <f ca="1">IF(OR(VS21="",KonditionsparcoursSkalawert[[#This Row],[Skala-Wert]]=Stammdaten!$AX$19),"",INDEX(INDIRECT(VS21),MATCH(KonditionsparcoursSkalawert[[#This Row],[Skala-Wert]],INDIRECT(VP21),0)))</f>
        <v/>
      </c>
      <c r="VU21" s="22"/>
    </row>
    <row r="22" spans="1:593" x14ac:dyDescent="0.3">
      <c r="A22" s="30">
        <v>4</v>
      </c>
      <c r="B22" s="589"/>
      <c r="C22" s="589"/>
      <c r="E22" s="591"/>
      <c r="G22" s="37"/>
      <c r="H22" s="190"/>
      <c r="I22" s="154">
        <f>IF(I$16,IF(J$16=0.5,MROUND(SechzigmLaufResultat[[#This Row],[Resultat]],J$16),ROUND(SechzigmLaufResultat[[#This Row],[Resultat]],J$16)),ROUNDDOWN(SechzigmLaufResultat[[#This Row],[Resultat]],J$16))</f>
        <v>0</v>
      </c>
      <c r="J22" s="191" t="str">
        <f>IF(OR(Geschlecht[[#This Row],[Geschlecht (Skala)]]="",G$16=""),"",MID(Geschlecht[[#This Row],[Geschlecht (Skala)]],1,1)&amp;MID(G$16,1,1))</f>
        <v/>
      </c>
      <c r="K22" s="190" t="str">
        <f>IF(OR(J22="",SechzigmLaufResultat[[#This Row],[Resultat]]=""),"",REPLACE(INDEX(StdDisziplinen[TabÜberschriftResultat],G$3),FIND("X",INDEX(StdDisziplinen[TabÜberschriftResultat],G$3),1),2,J22))</f>
        <v/>
      </c>
      <c r="L22" s="45" t="str">
        <f ca="1">IF(K22="","",IF(OR(SechzigmLaufResultat[[#This Row],[Resultat]]=Stammdaten!$AX$22,SechzigmLaufResultat[[#This Row],[Resultat]]=Stammdaten!$AX$19),Stammdaten!$AX$19,IF(ISNA(INDEX(INDIRECT(K22),MATCH(SechzigmLaufGerundet[[#This Row],[Rundung]],INDIRECT(K22),K$18))),IF(K$18=-1,LARGE(INDIRECT(K22),1),SMALL(INDIRECT(K22),1)),INDEX(INDIRECT(K22),MATCH(SechzigmLaufGerundet[[#This Row],[Rundung]],INDIRECT(K22),K$18)))))</f>
        <v/>
      </c>
      <c r="N22" s="18" t="str">
        <f ca="1">IF(SechzigmLaufSkalawert[[#This Row],[Skala-Wert]]="","",REPLACE(INDEX(StdDisziplinen[TabÜberschriftNote],G$3),FIND("X",INDEX(StdDisziplinen[TabÜberschriftNote],G$3),1),2,J22))</f>
        <v/>
      </c>
      <c r="O22" s="31" t="str">
        <f ca="1">IF(OR(N22="",SechzigmLaufSkalawert[[#This Row],[Skala-Wert]]=Stammdaten!$AX$19),"",INDEX(INDIRECT(N22),MATCH(SechzigmLaufSkalawert[[#This Row],[Skala-Wert]],INDIRECT(K22),0)))</f>
        <v/>
      </c>
      <c r="P22" s="31"/>
      <c r="Q22" s="37"/>
      <c r="R22" s="190"/>
      <c r="S22" s="154">
        <f>IF(S$16,IF(T$16=0.5,MROUND(AchtzigmLaufResultat[[#This Row],[Resultat]],T$16),ROUND(AchtzigmLaufResultat[[#This Row],[Resultat]],T$16)),ROUNDDOWN(AchtzigmLaufResultat[[#This Row],[Resultat]],T$16))</f>
        <v>0</v>
      </c>
      <c r="T22" s="191" t="str">
        <f>IF(OR(Geschlecht[[#This Row],[Geschlecht (Skala)]]="",Q$16=""),"",MID(Geschlecht[[#This Row],[Geschlecht (Skala)]],1,1)&amp;MID(Q$16,1,1))</f>
        <v/>
      </c>
      <c r="U22" s="190" t="str">
        <f>IF(OR(T22="",AchtzigmLaufResultat[[#This Row],[Resultat]]=""),"",REPLACE(INDEX(StdDisziplinen[TabÜberschriftResultat],Q$3),FIND("X",INDEX(StdDisziplinen[TabÜberschriftResultat],Q$3),1),2,T22))</f>
        <v/>
      </c>
      <c r="V22" s="45" t="str">
        <f ca="1">IF(U22="","",IF(OR(AchtzigmLaufResultat[[#This Row],[Resultat]]=Stammdaten!$AX$22,AchtzigmLaufResultat[[#This Row],[Resultat]]=Stammdaten!$AX$19),Stammdaten!$AX$19,IF(ISNA(INDEX(INDIRECT(U22),MATCH(AchtzigmLaufGerundet[[#This Row],[Rundung]],INDIRECT(U22),U$18))),IF(U$18=-1,LARGE(INDIRECT(U22),1),SMALL(INDIRECT(U22),1)),INDEX(INDIRECT(U22),MATCH(AchtzigmLaufGerundet[[#This Row],[Rundung]],INDIRECT(U22),U$18)))))</f>
        <v/>
      </c>
      <c r="X22" s="18" t="str">
        <f ca="1">IF(AchtzigmLaufSkalawert[[#This Row],[Skala-Wert]]="","",REPLACE(INDEX(StdDisziplinen[TabÜberschriftNote],Q$3),FIND("X",INDEX(StdDisziplinen[TabÜberschriftNote],Q$3),1),2,T22))</f>
        <v/>
      </c>
      <c r="Y22" s="31" t="str">
        <f ca="1">IF(OR(X22="",AchtzigmLaufSkalawert[[#This Row],[Skala-Wert]]=Stammdaten!$AX$19),"",INDEX(INDIRECT(X22),MATCH(AchtzigmLaufSkalawert[[#This Row],[Skala-Wert]],INDIRECT(U22),0)))</f>
        <v/>
      </c>
      <c r="Z22" s="31"/>
      <c r="AA22" s="37"/>
      <c r="AB22" s="190"/>
      <c r="AC22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2" s="191" t="str">
        <f>IF(OR(Geschlecht[[#This Row],[Geschlecht (Skala)]]="",AA$16=""),"",MID(Geschlecht[[#This Row],[Geschlecht (Skala)]],1,1)&amp;MID(AA$16,1,1))</f>
        <v/>
      </c>
      <c r="AE22" s="190" t="str">
        <f>IF(OR(AD22="",ZwölfMinLaufHalleResultat[[#This Row],[Resultat]]=""),"",REPLACE(INDEX(StdDisziplinen[TabÜberschriftResultat],AA$3),FIND("X",INDEX(StdDisziplinen[TabÜberschriftResultat],AA$3),1),2,AD22))</f>
        <v/>
      </c>
      <c r="AF22" s="31" t="str">
        <f ca="1">IF(AE22="","",IF(OR(ZwölfMinLaufHalleResultat[[#This Row],[Resultat]]=Stammdaten!$AX$22,ZwölfMinLaufHalleResultat[[#This Row],[Resultat]]=Stammdaten!$AX$19),Stammdaten!$AX$19,IF(ISNA(INDEX(INDIRECT(AE22),MATCH(ZwölfMinLaufHalleGerundet[[#This Row],[Rundung]],INDIRECT(AE22),AE$18))),IF(AE$18=-1,LARGE(INDIRECT(AE22),1),SMALL(INDIRECT(AE22),1)),INDEX(INDIRECT(AE22),MATCH(ZwölfMinLaufHalleGerundet[[#This Row],[Rundung]],INDIRECT(AE22),AE$18)))))</f>
        <v/>
      </c>
      <c r="AH22" s="18" t="str">
        <f ca="1">IF(ZwölfMinLaufHalleSkalawert[[#This Row],[Skala-Wert]]="","",REPLACE(INDEX(StdDisziplinen[TabÜberschriftNote],AA$3),FIND("X",INDEX(StdDisziplinen[TabÜberschriftNote],AA$3),1),2,AD22))</f>
        <v/>
      </c>
      <c r="AI22" s="31" t="str">
        <f ca="1">IF(OR(AH22="",ZwölfMinLaufHalleSkalawert[[#This Row],[Skala-Wert]]=Stammdaten!$AX$19),"",INDEX(INDIRECT(AH22),MATCH(ZwölfMinLaufHalleSkalawert[[#This Row],[Skala-Wert]],INDIRECT(AE22),0)))</f>
        <v/>
      </c>
      <c r="AJ22" s="31"/>
      <c r="AK22" s="597"/>
      <c r="AL22" s="190"/>
      <c r="AM22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2" s="191" t="str">
        <f>IF(OR(Geschlecht[[#This Row],[Geschlecht (Skala)]]="",AK$16=""),"",MID(Geschlecht[[#This Row],[Geschlecht (Skala)]],1,1)&amp;MID(AK$16,1,1))</f>
        <v/>
      </c>
      <c r="AO22" s="190" t="str">
        <f>IF(OR(AN22="",ZwölfMinLaufimFreienResultat[[#This Row],[Resultat]]=""),"",REPLACE(INDEX(StdDisziplinen[TabÜberschriftResultat],AK$3),FIND("X",INDEX(StdDisziplinen[TabÜberschriftResultat],AK$3),1),2,AN22))</f>
        <v/>
      </c>
      <c r="AP22" s="192" t="str">
        <f ca="1">IF(AO22="","",IF(OR(ZwölfMinLaufimFreienResultat[[#This Row],[Resultat]]=Stammdaten!$AX$22,ZwölfMinLaufimFreienResultat[[#This Row],[Resultat]]=Stammdaten!$AX$19),Stammdaten!$AX$19,IF(ISNA(INDEX(INDIRECT(AO22),MATCH(ZwölfMinLaufimFreienGerundet[[#This Row],[Rundung]],INDIRECT(AO22),AO$18))),IF(AO$18=-1,LARGE(INDIRECT(AO22),1),SMALL(INDIRECT(AO22),1)),INDEX(INDIRECT(AO22),MATCH(ZwölfMinLaufimFreienGerundet[[#This Row],[Rundung]],INDIRECT(AO22),AO$18)))))</f>
        <v/>
      </c>
      <c r="AR22" s="18" t="str">
        <f ca="1">IF(ZwölfMinLaufimFreienSkalawert[[#This Row],[Skala-Wert]]="","",REPLACE(INDEX(StdDisziplinen[TabÜberschriftNote],AK$3),FIND("X",INDEX(StdDisziplinen[TabÜberschriftNote],AK$3),1),2,AN22))</f>
        <v/>
      </c>
      <c r="AS22" s="31" t="str">
        <f ca="1">IF(OR(AR22="",ZwölfMinLaufimFreienSkalawert[[#This Row],[Skala-Wert]]=Stammdaten!$AX$19),"",INDEX(INDIRECT(AR22),MATCH(ZwölfMinLaufimFreienSkalawert[[#This Row],[Skala-Wert]],INDIRECT(AO22),0)))</f>
        <v/>
      </c>
      <c r="AT22" s="31"/>
      <c r="AU22" s="597"/>
      <c r="AV22" s="190"/>
      <c r="AW22" s="587">
        <f>IF(AW$16,IF(AX$16=0.5,MROUND(HochsprungResultat[[#This Row],[Resultat]],AX$16),ROUND(HochsprungResultat[[#This Row],[Resultat]],AX$16)),ROUNDDOWN(HochsprungResultat[[#This Row],[Resultat]],AX$16))</f>
        <v>0</v>
      </c>
      <c r="AX22" s="191" t="str">
        <f>IF(OR(Geschlecht[[#This Row],[Geschlecht (Skala)]]="",AU$16=""),"",MID(Geschlecht[[#This Row],[Geschlecht (Skala)]],1,1)&amp;MID(AU$16,1,1))</f>
        <v/>
      </c>
      <c r="AY22" s="190" t="str">
        <f>IF(OR(AX22="",HochsprungResultat[[#This Row],[Resultat]]=""),"",REPLACE(INDEX(StdDisziplinen[TabÜberschriftResultat],AU$3),FIND("X",INDEX(StdDisziplinen[TabÜberschriftResultat],AU$3),1),2,AX22))</f>
        <v/>
      </c>
      <c r="AZ22" s="192" t="str">
        <f ca="1">IF(AY22="","",IF(OR(HochsprungResultat[[#This Row],[Resultat]]=Stammdaten!$AX$22,HochsprungResultat[[#This Row],[Resultat]]=Stammdaten!$AX$19),Stammdaten!$AX$19,IF(ISNA(INDEX(INDIRECT(AY22),MATCH(HochsprungGerundet[[#This Row],[Rundung]],INDIRECT(AY22),AY$18))),IF(AY$18=-1,LARGE(INDIRECT(AY22),1),SMALL(INDIRECT(AY22),1)),INDEX(INDIRECT(AY22),MATCH(HochsprungGerundet[[#This Row],[Rundung]],INDIRECT(AY22),AY$18)))))</f>
        <v/>
      </c>
      <c r="BB22" s="18" t="str">
        <f ca="1">IF(HochsprungSkalawert[[#This Row],[Skala-Wert]]="","",REPLACE(INDEX(StdDisziplinen[TabÜberschriftNote],AU$3),FIND("X",INDEX(StdDisziplinen[TabÜberschriftNote],AU$3),1),2,AX22))</f>
        <v/>
      </c>
      <c r="BC22" s="31" t="str">
        <f ca="1">IF(OR(BB22="",HochsprungSkalawert[[#This Row],[Skala-Wert]]=Stammdaten!$AX$19),"",INDEX(INDIRECT(BB22),MATCH(HochsprungSkalawert[[#This Row],[Skala-Wert]],INDIRECT(AY22),0)))</f>
        <v/>
      </c>
      <c r="BD22" s="31"/>
      <c r="BE22" s="597"/>
      <c r="BF22" s="190"/>
      <c r="BG22" s="587">
        <f>IF(BG$16,IF(BH$16=0.5,MROUND(WeitsprungResultat[[#This Row],[Resultat]],BH$16),ROUND(WeitsprungResultat[[#This Row],[Resultat]],BH$16)),ROUNDDOWN(WeitsprungResultat[[#This Row],[Resultat]],BH$16))</f>
        <v>0</v>
      </c>
      <c r="BH22" s="191" t="str">
        <f>IF(OR(Geschlecht[[#This Row],[Geschlecht (Skala)]]="",BE$16=""),"",MID(Geschlecht[[#This Row],[Geschlecht (Skala)]],1,1)&amp;MID(BE$16,1,1))</f>
        <v/>
      </c>
      <c r="BI22" s="190" t="str">
        <f>IF(OR(BH22="",WeitsprungResultat[[#This Row],[Resultat]]=""),"",REPLACE(INDEX(StdDisziplinen[TabÜberschriftResultat],BE$3),FIND("X",INDEX(StdDisziplinen[TabÜberschriftResultat],BE$3),1),2,BH22))</f>
        <v/>
      </c>
      <c r="BJ22" s="192" t="str">
        <f ca="1">IF(BI22="","",IF(OR(WeitsprungResultat[[#This Row],[Resultat]]=Stammdaten!$AX$22,WeitsprungResultat[[#This Row],[Resultat]]=Stammdaten!$AX$19),Stammdaten!$AX$19,IF(ISNA(INDEX(INDIRECT(BI22),MATCH(WeitsprungGerundet[[#This Row],[Rundung]],INDIRECT(BI22),BI$18))),IF(BI$18=-1,LARGE(INDIRECT(BI22),1),SMALL(INDIRECT(BI22),1)),INDEX(INDIRECT(BI22),MATCH(WeitsprungGerundet[[#This Row],[Rundung]],INDIRECT(BI22),BI$18)))))</f>
        <v/>
      </c>
      <c r="BL22" s="18" t="str">
        <f ca="1">IF(WeitsprungSkalawert[[#This Row],[Skala-Wert]]="","",REPLACE(INDEX(StdDisziplinen[TabÜberschriftNote],BE$3),FIND("X",INDEX(StdDisziplinen[TabÜberschriftNote],BE$3),1),2,BH22))</f>
        <v/>
      </c>
      <c r="BM22" s="31" t="str">
        <f ca="1">IF(OR(BL22="",WeitsprungSkalawert[[#This Row],[Skala-Wert]]=Stammdaten!$AX$19),"",INDEX(INDIRECT(BL22),MATCH(WeitsprungSkalawert[[#This Row],[Skala-Wert]],INDIRECT(BI22),0)))</f>
        <v/>
      </c>
      <c r="BN22" s="31"/>
      <c r="BO22" s="37"/>
      <c r="BP22" s="190"/>
      <c r="BQ22" s="154">
        <f>IF(BQ$16,IF(BR$16=0.5,MROUND(BallwurfResultat[[#This Row],[Resultat]],BR$16),ROUND(BallwurfResultat[[#This Row],[Resultat]],BR$16)),ROUNDDOWN(BallwurfResultat[[#This Row],[Resultat]],BR$16))</f>
        <v>0</v>
      </c>
      <c r="BR22" s="191" t="str">
        <f>IF(OR(Geschlecht[[#This Row],[Geschlecht (Skala)]]="",BO$16=""),"",MID(Geschlecht[[#This Row],[Geschlecht (Skala)]],1,1)&amp;MID(BO$16,1,1))</f>
        <v/>
      </c>
      <c r="BS22" s="190" t="str">
        <f>IF(OR(BR22="",BallwurfResultat[[#This Row],[Resultat]]=""),"",REPLACE(INDEX(StdDisziplinen[TabÜberschriftResultat],BO$3),FIND("X",INDEX(StdDisziplinen[TabÜberschriftResultat],BO$3),1),2,BR22))</f>
        <v/>
      </c>
      <c r="BT22" s="45" t="str">
        <f ca="1">IF(BS22="","",IF(OR(BallwurfResultat[[#This Row],[Resultat]]=Stammdaten!$AX$22,BallwurfResultat[[#This Row],[Resultat]]=Stammdaten!$AX$19),Stammdaten!$AX$19,IF(ISNA(INDEX(INDIRECT(BS22),MATCH(BallwurfGerundet[[#This Row],[Rundung]],INDIRECT(BS22),BS$18))),IF(BS$18=-1,LARGE(INDIRECT(BS22),1),SMALL(INDIRECT(BS22),1)),INDEX(INDIRECT(BS22),MATCH(BallwurfGerundet[[#This Row],[Rundung]],INDIRECT(BS22),BS$18)))))</f>
        <v/>
      </c>
      <c r="BV22" s="18" t="str">
        <f ca="1">IF(BallwurfSkalawert[[#This Row],[Skala-Wert]]="","",REPLACE(INDEX(StdDisziplinen[TabÜberschriftNote],BO$3),FIND("X",INDEX(StdDisziplinen[TabÜberschriftNote],BO$3),1),2,BR22))</f>
        <v/>
      </c>
      <c r="BW22" s="31" t="str">
        <f ca="1">IF(OR(BV22="",BallwurfSkalawert[[#This Row],[Skala-Wert]]=Stammdaten!$AX$19),"",INDEX(INDIRECT(BV22),MATCH(BallwurfSkalawert[[#This Row],[Skala-Wert]],INDIRECT(BS22),0)))</f>
        <v/>
      </c>
      <c r="BX22" s="31"/>
      <c r="BY22" s="598"/>
      <c r="BZ22" s="190"/>
      <c r="CA22" s="154">
        <f>IF(CA$16,IF(CB$16=0.5,MROUND(KugelstossenResultat[[#This Row],[Resultat]],CB$16),ROUND(KugelstossenResultat[[#This Row],[Resultat]],CB$16)),ROUNDDOWN(KugelstossenResultat[[#This Row],[Resultat]],CB$16))</f>
        <v>0</v>
      </c>
      <c r="CB22" s="191" t="str">
        <f>IF(OR(Geschlecht[[#This Row],[Geschlecht (Skala)]]="",BY$16=""),"",MID(Geschlecht[[#This Row],[Geschlecht (Skala)]],1,1)&amp;MID(BY$16,1,1))</f>
        <v/>
      </c>
      <c r="CC22" s="190" t="str">
        <f>IF(OR(CB22="",KugelstossenResultat[[#This Row],[Resultat]]=""),"",REPLACE(INDEX(StdDisziplinen[TabÜberschriftResultat],BY$3),FIND("X",INDEX(StdDisziplinen[TabÜberschriftResultat],BY$3),1),2,CB22))</f>
        <v/>
      </c>
      <c r="CD22" s="45" t="str">
        <f ca="1">IF(CC22="","",IF(OR(KugelstossenResultat[[#This Row],[Resultat]]=Stammdaten!$AX$22,KugelstossenResultat[[#This Row],[Resultat]]=Stammdaten!$AX$19),Stammdaten!$AX$19,IF(ISNA(INDEX(INDIRECT(CC22),MATCH(KugelstossenGerundet[[#This Row],[Rundung]],INDIRECT(CC22),CC$18))),IF(CC$18=-1,LARGE(INDIRECT(CC22),1),SMALL(INDIRECT(CC22),1)),INDEX(INDIRECT(CC22),MATCH(KugelstossenGerundet[[#This Row],[Rundung]],INDIRECT(CC22),CC$18)))))</f>
        <v/>
      </c>
      <c r="CF22" s="18" t="str">
        <f ca="1">IF(KugelstossenSkalawert[[#This Row],[Skala-Wert]]="","",REPLACE(INDEX(StdDisziplinen[TabÜberschriftNote],BY$3),FIND("X",INDEX(StdDisziplinen[TabÜberschriftNote],BY$3),1),2,CB22))</f>
        <v/>
      </c>
      <c r="CG22" s="31" t="str">
        <f ca="1">IF(OR(CF22="",KugelstossenSkalawert[[#This Row],[Skala-Wert]]=Stammdaten!$AX$19),"",INDEX(INDIRECT(CF22),MATCH(KugelstossenSkalawert[[#This Row],[Skala-Wert]],INDIRECT(CC22),0)))</f>
        <v/>
      </c>
      <c r="CH22" s="31"/>
      <c r="CI22" s="37"/>
      <c r="CJ22" s="190"/>
      <c r="CK22" s="154">
        <f>IF(CK$16,IF(CL$16=0.5,MROUND(SpeerwurfResultat[[#This Row],[Resultat]],CL$16),ROUND(SpeerwurfResultat[[#This Row],[Resultat]],CL$16)),ROUNDDOWN(SpeerwurfResultat[[#This Row],[Resultat]],CL$16))</f>
        <v>0</v>
      </c>
      <c r="CL22" s="191" t="str">
        <f>IF(OR(Geschlecht[[#This Row],[Geschlecht (Skala)]]="",CI$16=""),"",MID(Geschlecht[[#This Row],[Geschlecht (Skala)]],1,1)&amp;MID(CI$16,1,1))</f>
        <v/>
      </c>
      <c r="CM22" s="190" t="str">
        <f>IF(OR(CL22="",SpeerwurfResultat[[#This Row],[Resultat]]=""),"",REPLACE(INDEX(StdDisziplinen[TabÜberschriftResultat],CI$3),FIND("X",INDEX(StdDisziplinen[TabÜberschriftResultat],CI$3),1),2,CL22))</f>
        <v/>
      </c>
      <c r="CN22" s="45" t="str">
        <f ca="1">IF(CM22="","",IF(OR(SpeerwurfResultat[[#This Row],[Resultat]]=Stammdaten!$AX$22,SpeerwurfResultat[[#This Row],[Resultat]]=Stammdaten!$AX$19),Stammdaten!$AX$19,IF(ISNA(INDEX(INDIRECT(CM22),MATCH(SpeerwurfGerundet[[#This Row],[Rundung]],INDIRECT(CM22),CM$18))),IF(CM$18=-1,LARGE(INDIRECT(CM22),1),SMALL(INDIRECT(CM22),1)),INDEX(INDIRECT(CM22),MATCH(SpeerwurfGerundet[[#This Row],[Rundung]],INDIRECT(CM22),CM$18)))))</f>
        <v/>
      </c>
      <c r="CP22" s="18" t="str">
        <f ca="1">IF(SpeerwurfSkalawert[[#This Row],[Skala-Wert]]="","",REPLACE(INDEX(StdDisziplinen[TabÜberschriftNote],CI$3),FIND("X",INDEX(StdDisziplinen[TabÜberschriftNote],CI$3),1),2,CL22))</f>
        <v/>
      </c>
      <c r="CQ22" s="31" t="str">
        <f ca="1">IF(OR(CP22="",SpeerwurfSkalawert[[#This Row],[Skala-Wert]]=Stammdaten!$AX$19),"",INDEX(INDIRECT(CP22),MATCH(SpeerwurfSkalawert[[#This Row],[Skala-Wert]],INDIRECT(CM22),0)))</f>
        <v/>
      </c>
      <c r="CR22" s="31"/>
      <c r="CS22" s="31" t="str">
        <f t="shared" ca="1" si="50"/>
        <v/>
      </c>
      <c r="CT22" s="31" t="str">
        <f t="shared" ca="1" si="50"/>
        <v/>
      </c>
      <c r="CU22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Row],[Skala-Wert]])&gt;0,MAX(CS22:CT22),99))</f>
        <v>Keine Note</v>
      </c>
      <c r="CV22" s="202" t="str">
        <f t="shared" ca="1" si="51"/>
        <v/>
      </c>
      <c r="CW22" s="202" t="str">
        <f ca="1">IF(CV22=$A$2,CS$10&amp;Stammdaten!$AX$25,IF(CU22=INDEX(StdFehler[],3),CS$10&amp;Stammdaten!$AX$27,INDEX(INDIRECT($B$4),MATCH(CV22,INDIRECT($B$5),0))))</f>
        <v>Sprintdisziplinen nicht durchgeführt</v>
      </c>
      <c r="CX22" s="202" t="str">
        <f ca="1">IFERROR(INDEX(INDIRECT(CX$12),MATCH(CV22,StdDisziplinen[ID],0)),"")</f>
        <v/>
      </c>
      <c r="CY22" s="202" t="e">
        <f t="shared" ca="1" si="52"/>
        <v>#N/A</v>
      </c>
      <c r="CZ22" s="202" t="e">
        <f t="shared" ca="1" si="53"/>
        <v>#N/A</v>
      </c>
      <c r="DA22" s="98" t="str">
        <f t="shared" ca="1" si="223"/>
        <v/>
      </c>
      <c r="DB22" s="202" t="e">
        <f t="shared" ca="1" si="54"/>
        <v>#N/A</v>
      </c>
      <c r="DC22" s="202" t="str">
        <f t="shared" ca="1" si="55"/>
        <v/>
      </c>
      <c r="DD22" s="31" t="str">
        <f t="shared" ca="1" si="56"/>
        <v/>
      </c>
      <c r="DE22" s="31" t="str">
        <f t="shared" ca="1" si="56"/>
        <v/>
      </c>
      <c r="DF22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Row],[Skala-Wert]])&gt;0,MAX(DD22:DE22),99))</f>
        <v>Keine Note</v>
      </c>
      <c r="DG22" s="202" t="str">
        <f t="shared" ca="1" si="57"/>
        <v/>
      </c>
      <c r="DH22" s="202" t="str">
        <f ca="1">IF(DG22=$A$2,DD$10&amp;Stammdaten!$AX$25,IF(DF22=INDEX(StdFehler[],3),DD$10&amp;Stammdaten!$AX$27,INDEX(INDIRECT($B$4),MATCH(DG22,INDIRECT($B$5),0))))</f>
        <v>Ausdauerdisziplinen nicht durchgeführt</v>
      </c>
      <c r="DI22" s="202" t="str">
        <f ca="1">IFERROR(INDEX(INDIRECT(DI$12),MATCH(DG22,StdDisziplinen[ID],0)),"")</f>
        <v/>
      </c>
      <c r="DJ22" s="202" t="e">
        <f t="shared" ca="1" si="58"/>
        <v>#N/A</v>
      </c>
      <c r="DK22" s="202" t="e">
        <f t="shared" ca="1" si="59"/>
        <v>#N/A</v>
      </c>
      <c r="DL22" s="96" t="str">
        <f t="shared" ca="1" si="60"/>
        <v/>
      </c>
      <c r="DM22" s="202" t="e">
        <f t="shared" ca="1" si="61"/>
        <v>#N/A</v>
      </c>
      <c r="DN22" s="202" t="str">
        <f t="shared" ca="1" si="62"/>
        <v/>
      </c>
      <c r="DO22" s="31" t="str">
        <f t="shared" ca="1" si="63"/>
        <v/>
      </c>
      <c r="DP22" s="31" t="str">
        <f t="shared" ca="1" si="63"/>
        <v/>
      </c>
      <c r="DQ22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Row],[Skala-Wert]])&gt;0,MAX(DO22:DP22),99))</f>
        <v>Keine Note</v>
      </c>
      <c r="DR22" s="202" t="str">
        <f t="shared" ca="1" si="64"/>
        <v/>
      </c>
      <c r="DS22" s="202" t="str">
        <f ca="1">IF(DR22=$A$2,DO$10&amp;Stammdaten!$AX$25,IF(DQ22=INDEX(StdFehler[],3),DO$10&amp;Stammdaten!$AX$27,INDEX(INDIRECT($B$4),MATCH(DR22,INDIRECT($B$5),0))))</f>
        <v>Sprungdisziplinen nicht durchgeführt</v>
      </c>
      <c r="DT22" s="202" t="str">
        <f ca="1">IFERROR(INDEX(INDIRECT(DT$12),MATCH(DR22,StdDisziplinen[ID],0)),"")</f>
        <v/>
      </c>
      <c r="DU22" s="202" t="e">
        <f t="shared" ca="1" si="65"/>
        <v>#N/A</v>
      </c>
      <c r="DV22" s="202" t="e">
        <f t="shared" ca="1" si="66"/>
        <v>#N/A</v>
      </c>
      <c r="DW22" s="202" t="str">
        <f t="shared" ca="1" si="67"/>
        <v/>
      </c>
      <c r="DX22" s="202" t="e">
        <f t="shared" ca="1" si="68"/>
        <v>#N/A</v>
      </c>
      <c r="DY22" s="202" t="str">
        <f t="shared" ca="1" si="69"/>
        <v/>
      </c>
      <c r="DZ22" s="31" t="str">
        <f ca="1">IF(BallwurfSkalawert[[#This Row],[Skala-Wert]]=$A$3,$A$2,IF(ISNUMBER(BallwurfSkalawert[[#This Row],[Skala-Wert]]),BallwurfNote[[#This Row],[Note]],"!"))</f>
        <v>!</v>
      </c>
      <c r="EA22" s="31" t="str">
        <f ca="1">IF(KugelstossenSkalawert[[#This Row],[Skala-Wert]]=$A$3,$A$2,IF(ISNUMBER(KugelstossenSkalawert[[#This Row],[Skala-Wert]]),KugelstossenNote[[#This Row],[Note]],"!"))</f>
        <v>!</v>
      </c>
      <c r="EB22" s="31" t="str">
        <f ca="1">IF(SpeerwurfSkalawert[[#This Row],[Skala-Wert]]=$A$3,$A$2,IF(ISNUMBER(SpeerwurfSkalawert[[#This Row],[Skala-Wert]]),SpeerwurfNote[[#This Row],[Note]],"!"))</f>
        <v>!</v>
      </c>
      <c r="EC22" s="95" t="str">
        <f ca="1">IF(ED22&gt;0,MAX(DZ22:EB22),IF(EE22&gt;0,99,INDEX(StdFehler[StdFehler],3)))</f>
        <v>Keine Note</v>
      </c>
      <c r="ED22" s="202">
        <f t="shared" ca="1" si="70"/>
        <v>0</v>
      </c>
      <c r="EE22" s="202">
        <f t="shared" ca="1" si="71"/>
        <v>0</v>
      </c>
      <c r="EF22" s="202" t="str">
        <f t="shared" ca="1" si="72"/>
        <v/>
      </c>
      <c r="EG22" s="202" t="str">
        <f ca="1">IF(EF22=$A$2,DZ$10&amp;Stammdaten!$AX$25,IF(EC22=INDEX(StdFehler[],3),DZ$10&amp;Stammdaten!$AX$27,INDEX(INDIRECT($B$4),MATCH(EF22,INDIRECT($B$5),0))))</f>
        <v>Wurfdisziplinen nicht durchgeführt</v>
      </c>
      <c r="EH22" s="202" t="str">
        <f ca="1">IFERROR(INDEX(INDIRECT(EH$12),MATCH(EF22,StdDisziplinen[ID],0)),"")</f>
        <v/>
      </c>
      <c r="EI22" s="202" t="e">
        <f t="shared" ca="1" si="73"/>
        <v>#N/A</v>
      </c>
      <c r="EJ22" s="202" t="e">
        <f t="shared" ca="1" si="74"/>
        <v>#N/A</v>
      </c>
      <c r="EK22" s="98" t="str">
        <f t="shared" ca="1" si="75"/>
        <v/>
      </c>
      <c r="EL22" s="202" t="e">
        <f t="shared" ca="1" si="76"/>
        <v>#N/A</v>
      </c>
      <c r="EM22" s="202" t="str">
        <f t="shared" ca="1" si="77"/>
        <v/>
      </c>
      <c r="EN22" s="200">
        <f t="shared" ca="1" si="1"/>
        <v>0</v>
      </c>
      <c r="EO22" s="202">
        <f t="shared" ca="1" si="78"/>
        <v>0</v>
      </c>
      <c r="EP22" s="96">
        <f t="shared" ca="1" si="2"/>
        <v>0</v>
      </c>
      <c r="EQ22" s="96">
        <f t="shared" ca="1" si="3"/>
        <v>0</v>
      </c>
      <c r="ER22" s="96">
        <f t="shared" ca="1" si="4"/>
        <v>0</v>
      </c>
      <c r="ES22" s="96">
        <f t="shared" ca="1" si="5"/>
        <v>0</v>
      </c>
      <c r="ET22" s="202">
        <f t="shared" ca="1" si="79"/>
        <v>0</v>
      </c>
      <c r="EU22" s="202" t="str">
        <f ca="1">IF($EO22=$FA$4,Stammdaten!$AX$19,IF(COUNTIF($EP22:$ES22,0)&lt;&gt;0,INDEX(StdFehler[StdFehler],4),ROUND(SUM($ET22/$EN22)/$FC$4,0)*$FC$4))</f>
        <v>Zu wenige Noten</v>
      </c>
      <c r="EV22" s="202" t="str">
        <f t="shared" ca="1" si="6"/>
        <v>Zu wenige Noten</v>
      </c>
      <c r="EW22" s="202" t="str">
        <f t="shared" ca="1" si="80"/>
        <v>Zu wenige Noten</v>
      </c>
      <c r="EX22" s="202" t="str">
        <f t="shared" ca="1" si="80"/>
        <v>Zu wenige Noten</v>
      </c>
      <c r="EY22" s="202" t="str">
        <f t="shared" ca="1" si="80"/>
        <v>Zu wenige Noten</v>
      </c>
      <c r="EZ22" s="202" t="str">
        <f t="shared" ca="1" si="81"/>
        <v>Zu wenige Noten</v>
      </c>
      <c r="FA22" s="202" t="str">
        <f t="shared" ca="1" si="82"/>
        <v>Zu wenige Noten</v>
      </c>
      <c r="FB22" s="31"/>
      <c r="FC22" s="56" t="str">
        <f t="shared" ca="1" si="83"/>
        <v>Zu wenige Noten</v>
      </c>
      <c r="FD22" s="31"/>
      <c r="FE22" s="597"/>
      <c r="FF22" s="190"/>
      <c r="FJ22" s="31"/>
      <c r="FK22" s="597"/>
      <c r="FL22" s="190"/>
      <c r="FP22" s="31"/>
      <c r="FQ22" s="597"/>
      <c r="FR22" s="190"/>
      <c r="FV22" s="31"/>
      <c r="FW22" s="597"/>
      <c r="FX22" s="190"/>
      <c r="GB22" s="31"/>
      <c r="GC22" s="597"/>
      <c r="GD22" s="190"/>
      <c r="GF22" s="154"/>
      <c r="GH22" s="31"/>
      <c r="GI22" s="597"/>
      <c r="GJ22" s="190"/>
      <c r="GN22" s="45"/>
      <c r="GO22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2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2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2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2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2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2" s="202">
        <f t="shared" si="7"/>
        <v>0</v>
      </c>
      <c r="GV22" s="202">
        <f t="shared" si="8"/>
        <v>0</v>
      </c>
      <c r="GW22" s="202">
        <f t="shared" si="84"/>
        <v>0</v>
      </c>
      <c r="GX22" s="200" t="str">
        <f t="shared" si="85"/>
        <v>!</v>
      </c>
      <c r="GY22" s="200" t="str">
        <f t="shared" si="9"/>
        <v>!</v>
      </c>
      <c r="GZ22" s="200" t="str">
        <f t="shared" si="10"/>
        <v>!</v>
      </c>
      <c r="HA22" s="244" t="str">
        <f t="shared" si="86"/>
        <v>nd</v>
      </c>
      <c r="HB22" s="244" t="str">
        <f t="shared" si="87"/>
        <v>nd</v>
      </c>
      <c r="HC22" s="244" t="str">
        <f t="shared" si="88"/>
        <v>nd</v>
      </c>
      <c r="HD22" s="244" t="str">
        <f t="shared" si="89"/>
        <v>nd</v>
      </c>
      <c r="HE22" s="244" t="str">
        <f t="shared" si="90"/>
        <v>nd</v>
      </c>
      <c r="HF22" s="244" t="str">
        <f t="shared" si="91"/>
        <v>nd</v>
      </c>
      <c r="HG22" s="202" t="b">
        <f t="shared" si="92"/>
        <v>0</v>
      </c>
      <c r="HH22" s="202">
        <f t="shared" si="93"/>
        <v>1</v>
      </c>
      <c r="HI22" s="202">
        <f t="shared" si="94"/>
        <v>0</v>
      </c>
      <c r="HJ22" s="200" t="str">
        <f t="shared" si="95"/>
        <v/>
      </c>
      <c r="HK22" s="200" t="str">
        <f t="shared" si="96"/>
        <v/>
      </c>
      <c r="HL22" s="200">
        <f t="shared" si="97"/>
        <v>0</v>
      </c>
      <c r="HM22" s="202" t="str">
        <f t="shared" si="98"/>
        <v/>
      </c>
      <c r="HN22" s="200" t="str">
        <f t="shared" si="99"/>
        <v/>
      </c>
      <c r="HO22" s="200" t="str">
        <f t="shared" si="100"/>
        <v/>
      </c>
      <c r="HP22" s="200" t="str">
        <f t="shared" si="101"/>
        <v/>
      </c>
      <c r="HQ22" s="242" t="str">
        <f t="shared" si="102"/>
        <v/>
      </c>
      <c r="HR22" s="242" t="str">
        <f t="shared" si="103"/>
        <v/>
      </c>
      <c r="HS22" s="242" t="str">
        <f t="shared" si="104"/>
        <v/>
      </c>
      <c r="HT22" s="242" t="str">
        <f t="shared" ca="1" si="105"/>
        <v>Erstes Gerät</v>
      </c>
      <c r="HU22" s="242" t="str">
        <f ca="1">IF(HT22=$HS$12,Stammdaten!$AY$27,IF(HW22=$A$2,TRIM(Stammdaten!$AX$25),""))</f>
        <v>nicht durchgeführt</v>
      </c>
      <c r="HV22" s="242" t="str">
        <f t="shared" ca="1" si="106"/>
        <v/>
      </c>
      <c r="HW22" s="277" t="str">
        <f t="shared" si="11"/>
        <v/>
      </c>
      <c r="HX22" s="202" t="str">
        <f t="shared" si="107"/>
        <v/>
      </c>
      <c r="HY22" s="202" t="str">
        <f t="shared" ca="1" si="108"/>
        <v/>
      </c>
      <c r="HZ22" s="202" t="str">
        <f t="shared" ca="1" si="109"/>
        <v>StdDisziplinen[MaxTextSt]</v>
      </c>
      <c r="IA22" s="202" t="str">
        <f t="shared" ca="1" si="12"/>
        <v/>
      </c>
      <c r="IB22" s="202" t="b">
        <f t="shared" si="110"/>
        <v>0</v>
      </c>
      <c r="IC22" s="202" t="str">
        <f t="shared" si="111"/>
        <v/>
      </c>
      <c r="ID22" s="202" t="str">
        <f t="shared" si="112"/>
        <v/>
      </c>
      <c r="IE22" s="202" t="str">
        <f t="shared" si="113"/>
        <v/>
      </c>
      <c r="IF22" s="202" t="str">
        <f t="shared" si="114"/>
        <v/>
      </c>
      <c r="IG22" s="242" t="str">
        <f t="shared" si="115"/>
        <v/>
      </c>
      <c r="IH22" s="242" t="str">
        <f t="shared" si="116"/>
        <v/>
      </c>
      <c r="II22" s="242" t="str">
        <f t="shared" ca="1" si="13"/>
        <v>Zweites Gerät</v>
      </c>
      <c r="IJ22" s="242" t="str">
        <f ca="1">IF(II22=$IH$12,Stammdaten!$AY$27,IF(IL22=$A$2,TRIM(Stammdaten!$AX$25),""))</f>
        <v>nicht durchgeführt</v>
      </c>
      <c r="IK22" s="242" t="str">
        <f t="shared" ca="1" si="117"/>
        <v/>
      </c>
      <c r="IL22" s="200" t="str">
        <f t="shared" si="14"/>
        <v/>
      </c>
      <c r="IM22" s="202" t="str">
        <f t="shared" si="118"/>
        <v/>
      </c>
      <c r="IN22" s="202" t="str">
        <f t="shared" ca="1" si="119"/>
        <v/>
      </c>
      <c r="IO22" s="202" t="str">
        <f t="shared" ca="1" si="120"/>
        <v>StdDisziplinen[MaxTextSt]</v>
      </c>
      <c r="IP22" s="202" t="str">
        <f t="shared" ca="1" si="121"/>
        <v/>
      </c>
      <c r="IQ22" s="202" t="b">
        <f t="shared" si="122"/>
        <v>0</v>
      </c>
      <c r="IR22" s="242" t="str">
        <f t="shared" ca="1" si="15"/>
        <v>Drittes Gerät</v>
      </c>
      <c r="IS22" s="242" t="str">
        <f ca="1">IF(IR22=$IR$12,MID(Stammdaten!$AX$27,2,LEN(Stammdaten!$AX$27)),IF(IU22=$A$2,TRIM(Stammdaten!$AX$25),""))</f>
        <v>nicht durchgeführt</v>
      </c>
      <c r="IT22" s="242" t="str">
        <f t="shared" ca="1" si="16"/>
        <v/>
      </c>
      <c r="IU22" s="200" t="str">
        <f t="shared" si="17"/>
        <v/>
      </c>
      <c r="IV22" s="202" t="str">
        <f t="shared" si="123"/>
        <v/>
      </c>
      <c r="IW22" s="202" t="str">
        <f t="shared" ca="1" si="124"/>
        <v/>
      </c>
      <c r="IX22" s="202" t="str">
        <f t="shared" ca="1" si="125"/>
        <v>StdDisziplinen[MaxTextSt]</v>
      </c>
      <c r="IY22" s="202" t="str">
        <f t="shared" ca="1" si="18"/>
        <v/>
      </c>
      <c r="IZ22" s="200" t="str">
        <f>IF(NOT(GW22),INDEX(StdFehler[StdFehler],4),IF(COUNTIF(GX22:GZ22,$A$2)&gt;=$IZ$4,$A$3,SUM(GX22:GZ22)))</f>
        <v>Zu wenige Noten</v>
      </c>
      <c r="JA22" s="31"/>
      <c r="JB22" s="587" t="e">
        <f t="shared" si="19"/>
        <v>#VALUE!</v>
      </c>
      <c r="JC22" s="191" t="str">
        <f>IF(OR(Geschlecht[[#This Row],[Geschlecht (Skala)]]="",IZ22=""),"",MID(Geschlecht[[#This Row],[Geschlecht (Skala)]],1,1)&amp;MID($FE$16,1,1))</f>
        <v/>
      </c>
      <c r="JD22" s="190" t="str">
        <f>IF(OR(JC22="",IZ22=""),"",REPLACE(INDEX(StdDisziplinen[TabÜberschriftResultat],$FE$3),FIND("X",INDEX(StdDisziplinen[TabÜberschriftResultat],$FE$3),1),2,JC22))</f>
        <v/>
      </c>
      <c r="JE22" s="192" t="str">
        <f ca="1">IF(OR(JD22="",IZ22=Stammdaten!$AZ$5),"",IF(OR(IZ22=Stammdaten!$AX$22,IZ22=Stammdaten!$AX$19),Stammdaten!$AX$19,IF(ISNA(INDEX(INDIRECT(JD22),MATCH(GeräteturnenGerundet[[#This Row],[Rundung]],INDIRECT(JD22),$JD$16))),IF($JD$16=-1,LARGE(INDIRECT(JD22),1),SMALL(INDIRECT(JD22),1)),INDEX(INDIRECT(JD22),MATCH(GeräteturnenGerundet[[#This Row],[Rundung]],INDIRECT(JD22),$JD$16)))))</f>
        <v/>
      </c>
      <c r="JG22" s="18" t="str">
        <f ca="1">IF(GeräteturnenSkalawert[[#This Row],[Skala-Wert]]="","",REPLACE(INDEX(StdDisziplinen[TabÜberschriftNote],$FE$3),FIND("X",INDEX(StdDisziplinen[TabÜberschriftNote],$FE$3),1),2,JC22))</f>
        <v/>
      </c>
      <c r="JH22" s="45" t="str">
        <f ca="1">IF(OR(JG22="",GeräteturnenSkalawert[[#This Row],[Skala-Wert]]=Stammdaten!$AX$19),"",INDEX(INDIRECT(JG22),MATCH(GeräteturnenSkalawert[[#This Row],[Skala-Wert]],INDIRECT(JD22),0)))</f>
        <v/>
      </c>
      <c r="JI22" s="31"/>
      <c r="JJ22" s="597"/>
      <c r="JK22" s="190"/>
      <c r="JL22" s="587">
        <f>IF(JL$16,IF(JM$16=0.5,MROUND(ParkourResultat[[#This Row],[Resultat]],JM$16),ROUND(ParkourResultat[[#This Row],[Resultat]],JM$16)),ROUNDDOWN(ParkourResultat[[#This Row],[Resultat]],JM$16))</f>
        <v>0</v>
      </c>
      <c r="JM22" s="191" t="str">
        <f>IF(OR(Geschlecht[[#This Row],[Geschlecht (Skala)]]="",JJ$16=""),"",MID(Geschlecht[[#This Row],[Geschlecht (Skala)]],1,1)&amp;MID(JJ$16,1,1))</f>
        <v/>
      </c>
      <c r="JN22" s="190" t="str">
        <f>IF(OR(JM22="",ParkourResultat[[#This Row],[Resultat]]=""),"",REPLACE(INDEX(StdDisziplinen[TabÜberschriftResultat],JJ$3),FIND("X",INDEX(StdDisziplinen[TabÜberschriftResultat],JJ$3),1),2,JM22))</f>
        <v/>
      </c>
      <c r="JO22" s="192" t="str">
        <f ca="1">IF(JN22="","",IF(OR(ParkourResultat[[#This Row],[Resultat]]=Stammdaten!$AX$22,ParkourResultat[[#This Row],[Resultat]]=Stammdaten!$AX$19),Stammdaten!$AX$19,IF(ISNA(INDEX(INDIRECT(JN22),MATCH(ParkourGerundet[[#This Row],[Rundung]],INDIRECT(JN22),JN$18))),IF(JN$18=-1,LARGE(INDIRECT(JN22),1),SMALL(INDIRECT(JN22),1)),INDEX(INDIRECT(JN22),MATCH(ParkourGerundet[[#This Row],[Rundung]],INDIRECT(JN22),JN$18)))))</f>
        <v/>
      </c>
      <c r="JQ22" s="18" t="str">
        <f ca="1">IF(ParkourSkalawert[[#This Row],[Skala-Wert]]="","",REPLACE(INDEX(StdDisziplinen[TabÜberschriftNote],JJ$3),FIND("X",INDEX(StdDisziplinen[TabÜberschriftNote],JJ$3),1),2,JM22))</f>
        <v/>
      </c>
      <c r="JR22" s="31" t="str">
        <f ca="1">IF(OR(JQ22="",ParkourSkalawert[[#This Row],[Skala-Wert]]=Stammdaten!$AX$19),"",INDEX(INDIRECT(JQ22),MATCH(ParkourSkalawert[[#This Row],[Skala-Wert]],INDIRECT(JN22),0)))</f>
        <v/>
      </c>
      <c r="JS22" s="96"/>
      <c r="JT22" s="47" t="str">
        <f ca="1">IF(OR(ISNUMBER(ParkourSkalawert[[#This Row],[Skala-Wert]]),ParkourSkalawert[[#This Row],[Skala-Wert]]=$A$3),INDEX(INDIRECT($JU$1),MATCH($JJ$3,INDIRECT($B$5),0)),"")</f>
        <v/>
      </c>
      <c r="JU22" s="200" t="str">
        <f t="shared" ca="1" si="126"/>
        <v>StdDisziplinen[MaxTextSt]</v>
      </c>
      <c r="JV22" s="200" t="str">
        <f t="shared" ca="1" si="127"/>
        <v/>
      </c>
      <c r="JW22" s="98">
        <f ca="1">IF(GeräteturnenSkalawert[[#This Row],[Skala-Wert]]=$A$3,$A$2,IF(GeräteturnenNote[[#This Row],[Note]]="",0,GeräteturnenNote[[#This Row],[Note]]))</f>
        <v>0</v>
      </c>
      <c r="JX22" s="96">
        <f ca="1">IF(ParkourSkalawert[[#This Row],[Skala-Wert]]=$A$3,$A$2,IF(ParkourNote[[#This Row],[Note]]="",0,ParkourNote[[#This Row],[Note]]))</f>
        <v>0</v>
      </c>
      <c r="JY22" s="200">
        <f t="shared" ca="1" si="128"/>
        <v>0</v>
      </c>
      <c r="JZ22" s="200">
        <f t="shared" ca="1" si="129"/>
        <v>0</v>
      </c>
      <c r="KA22" s="202">
        <f t="shared" ca="1" si="130"/>
        <v>0</v>
      </c>
      <c r="KB22" s="98" t="str">
        <f t="shared" ca="1" si="20"/>
        <v>!</v>
      </c>
      <c r="KC22" s="98" t="str">
        <f t="shared" ca="1" si="21"/>
        <v>!</v>
      </c>
      <c r="KD22" s="202" t="str">
        <f ca="1">IF(NOT(KA22),INDEX(StdFehler[StdFehler],4),IF(JZ22=$KA$12,$A$3,IF(JW22=$A$2,JX22,IF(JX22=$A$2,JW22,CONCATENATE(JW22,", ",JX22)))))</f>
        <v>Zu wenige Noten</v>
      </c>
      <c r="KE22" s="202" t="str">
        <f t="shared" ca="1" si="131"/>
        <v>Zu wenige Noten</v>
      </c>
      <c r="KF22" s="31"/>
      <c r="KG22" s="56" t="str">
        <f ca="1">IF(NOT(KA22),INDEX(StdFehler[StdFehler],4),IF(JZ22=$KA$12,$A$3,ROUND(AVERAGE(KB22:KC22)/$KG$4,0)*$KG$4))</f>
        <v>Zu wenige Noten</v>
      </c>
      <c r="KH22" s="31"/>
      <c r="KI22" s="599"/>
      <c r="KJ22" s="190"/>
      <c r="KK22" s="586">
        <f>IF(KK$16,IF(KL$16=0.5,MROUND(TanzenResultat[[#This Row],[Resultat]],KL$16),ROUND(TanzenResultat[[#This Row],[Resultat]],KL$16)),ROUNDDOWN(TanzenResultat[[#This Row],[Resultat]],KL$16))</f>
        <v>0</v>
      </c>
      <c r="KL22" s="191" t="str">
        <f>IF(OR(Geschlecht[[#This Row],[Geschlecht (Skala)]]="",KI$16=""),"",MID(Geschlecht[[#This Row],[Geschlecht (Skala)]],1,1)&amp;MID(KI$16,1,1))</f>
        <v/>
      </c>
      <c r="KM22" s="190" t="str">
        <f>IF(OR(KL22="",TanzenResultat[[#This Row],[Resultat]]=""),"",REPLACE(INDEX(StdDisziplinen[TabÜberschriftResultat],KI$3),FIND("X",INDEX(StdDisziplinen[TabÜberschriftResultat],KI$3),1),2,KL22))</f>
        <v/>
      </c>
      <c r="KN22" s="31" t="str">
        <f ca="1">IF(KM22="","",IF(OR(TanzenResultat[[#This Row],[Resultat]]=Stammdaten!$AX$22,TanzenResultat[[#This Row],[Resultat]]=Stammdaten!$AX$19),Stammdaten!$AX$19,IF(ISNA(INDEX(INDIRECT(KM22),MATCH(TanzenGerundet[[#This Row],[Rundung]],INDIRECT(KM22),KM$18))),IF(KM$18=-1,LARGE(INDIRECT(KM22),1),SMALL(INDIRECT(KM22),1)),INDEX(INDIRECT(KM22),MATCH(TanzenGerundet[[#This Row],[Rundung]],INDIRECT(KM22),KM$18)))))</f>
        <v/>
      </c>
      <c r="KP22" s="18" t="str">
        <f ca="1">IF(TanzenSkalawert[[#This Row],[Skala-Wert]]="","",REPLACE(INDEX(StdDisziplinen[TabÜberschriftNote],KI$3),FIND("X",INDEX(StdDisziplinen[TabÜberschriftNote],KI$3),1),2,KL22))</f>
        <v/>
      </c>
      <c r="KQ22" s="45" t="str">
        <f ca="1">IF(OR(KP22="",TanzenSkalawert[[#This Row],[Skala-Wert]]=Stammdaten!$AX$19),"",INDEX(INDIRECT(KP22),MATCH(TanzenSkalawert[[#This Row],[Skala-Wert]],INDIRECT(KM22),0)))</f>
        <v/>
      </c>
      <c r="KR22" s="31"/>
      <c r="KS22" s="597"/>
      <c r="KT22" s="190"/>
      <c r="KU22" s="587">
        <f>IF(KU$16,IF(KV$16=0.5,MROUND(RopeSkippingResultat[[#This Row],[Resultat]],KV$16),ROUND(RopeSkippingResultat[[#This Row],[Resultat]],KV$16)),ROUNDDOWN(RopeSkippingResultat[[#This Row],[Resultat]],KV$16))</f>
        <v>0</v>
      </c>
      <c r="KV22" s="191" t="str">
        <f>IF(OR(Geschlecht[[#This Row],[Geschlecht (Skala)]]="",KS$16=""),"",MID(Geschlecht[[#This Row],[Geschlecht (Skala)]],1,1)&amp;MID(KS$16,1,1))</f>
        <v/>
      </c>
      <c r="KW22" s="190" t="str">
        <f>IF(OR(KV22="",RopeSkippingResultat[[#This Row],[Resultat]]=""),"",REPLACE(INDEX(StdDisziplinen[TabÜberschriftResultat],KS$3),FIND("X",INDEX(StdDisziplinen[TabÜberschriftResultat],KS$3),1),2,KV22))</f>
        <v/>
      </c>
      <c r="KX22" s="192" t="str">
        <f ca="1">IF(KW22="","",IF(OR(RopeSkippingResultat[[#This Row],[Resultat]]=Stammdaten!$AX$22,RopeSkippingResultat[[#This Row],[Resultat]]=Stammdaten!$AX$19),Stammdaten!$AX$19,IF(ISNA(INDEX(INDIRECT(KW22),MATCH(RopeSkippingGerundet[[#This Row],[Rundung]],INDIRECT(KW22),KW$18))),IF(KW$18=-1,LARGE(INDIRECT(KW22),1),SMALL(INDIRECT(KW22),1)),INDEX(INDIRECT(KW22),MATCH(RopeSkippingGerundet[[#This Row],[Rundung]],INDIRECT(KW22),KW$18)))))</f>
        <v/>
      </c>
      <c r="KZ22" s="18" t="str">
        <f ca="1">IF(RopeSkippingSkalawert[[#This Row],[Skala-Wert]]="","",REPLACE(INDEX(StdDisziplinen[TabÜberschriftNote],KS$3),FIND("X",INDEX(StdDisziplinen[TabÜberschriftNote],KS$3),1),2,KV22))</f>
        <v/>
      </c>
      <c r="LA22" s="45" t="str">
        <f ca="1">IF(OR(KZ22="",RopeSkippingSkalawert[[#This Row],[Skala-Wert]]=Stammdaten!$AX$19),"",INDEX(INDIRECT(KZ22),MATCH(RopeSkippingSkalawert[[#This Row],[Skala-Wert]],INDIRECT(KW22),0)))</f>
        <v/>
      </c>
      <c r="LB22" s="31"/>
      <c r="LC22" s="599"/>
      <c r="LD22" s="190"/>
      <c r="LE22" s="586">
        <f>IF(LE$16,IF(LF$16=0.5,MROUND(AerobicResultat[[#This Row],[Resultat]],LF$16),ROUND(AerobicResultat[[#This Row],[Resultat]],LF$16)),ROUNDDOWN(AerobicResultat[[#This Row],[Resultat]],LF$16))</f>
        <v>0</v>
      </c>
      <c r="LF22" s="191" t="str">
        <f>IF(OR(Geschlecht[[#This Row],[Geschlecht (Skala)]]="",LC$16=""),"",MID(Geschlecht[[#This Row],[Geschlecht (Skala)]],1,1)&amp;MID(LC$16,1,1))</f>
        <v/>
      </c>
      <c r="LG22" s="190" t="str">
        <f>IF(OR(LF22="",AerobicResultat[[#This Row],[Resultat]]=""),"",REPLACE(INDEX(StdDisziplinen[TabÜberschriftResultat],LC$3),FIND("X",INDEX(StdDisziplinen[TabÜberschriftResultat],LC$3),1),2,LF22))</f>
        <v/>
      </c>
      <c r="LH22" s="31" t="str">
        <f ca="1">IF(LG22="","",IF(OR(AerobicResultat[[#This Row],[Resultat]]=Stammdaten!$AX$22,AerobicResultat[[#This Row],[Resultat]]=Stammdaten!$AX$19),Stammdaten!$AX$19,IF(ISNA(INDEX(INDIRECT(LG22),MATCH(AerobicGerundet[[#This Row],[Rundung]],INDIRECT(LG22),LG$18))),IF(LG$18=-1,LARGE(INDIRECT(LG22),1),SMALL(INDIRECT(LG22),1)),INDEX(INDIRECT(LG22),MATCH(AerobicGerundet[[#This Row],[Rundung]],INDIRECT(LG22),LG$18)))))</f>
        <v/>
      </c>
      <c r="LJ22" s="18" t="str">
        <f ca="1">IF(AerobicSkalawert[[#This Row],[Skala-Wert]]="","",REPLACE(INDEX(StdDisziplinen[TabÜberschriftNote],LC$3),FIND("X",INDEX(StdDisziplinen[TabÜberschriftNote],LC$3),1),2,LF22))</f>
        <v/>
      </c>
      <c r="LK22" s="45" t="str">
        <f ca="1">IF(OR(LJ22="",AerobicSkalawert[[#This Row],[Skala-Wert]]=Stammdaten!$AX$19),"",INDEX(INDIRECT(LJ22),MATCH(AerobicSkalawert[[#This Row],[Skala-Wert]],INDIRECT(LG22),0)))</f>
        <v/>
      </c>
      <c r="LL22" s="31"/>
      <c r="LM22" s="45" t="str">
        <f ca="1">IF(TanzenSkalawert[[#This Row],[Skala-Wert]]=$A$3,$A$2,IF(ISNUMBER(TanzenSkalawert[[#This Row],[Skala-Wert]]),TanzenNote[[#This Row],[Note]],"!"))</f>
        <v>!</v>
      </c>
      <c r="LN22" s="45" t="str">
        <f ca="1">IF(RopeSkippingSkalawert[[#This Row],[Skala-Wert]]=$A$3,$A$2,IF(ISNUMBER(RopeSkippingSkalawert[[#This Row],[Skala-Wert]]),RopeSkippingNote[[#This Row],[Note]],"!"))</f>
        <v>!</v>
      </c>
      <c r="LO22" s="45" t="str">
        <f ca="1">IF(AerobicSkalawert[[#This Row],[Skala-Wert]]=$A$3,$A$2,IF(ISNUMBER(AerobicSkalawert[[#This Row],[Skala-Wert]]),AerobicNote[[#This Row],[Note]],"!"))</f>
        <v>!</v>
      </c>
      <c r="LP22" s="36">
        <f t="shared" ca="1" si="132"/>
        <v>0</v>
      </c>
      <c r="LQ22" s="36">
        <f t="shared" ca="1" si="133"/>
        <v>0</v>
      </c>
      <c r="LR22" s="244" t="str">
        <f t="shared" ca="1" si="22"/>
        <v>nd</v>
      </c>
      <c r="LS22" s="244" t="str">
        <f t="shared" ca="1" si="23"/>
        <v>nd</v>
      </c>
      <c r="LT22" s="244" t="str">
        <f t="shared" ca="1" si="24"/>
        <v>nd</v>
      </c>
      <c r="LU22" s="242" t="str">
        <f t="shared" ca="1" si="25"/>
        <v/>
      </c>
      <c r="LV22" s="242" t="str">
        <f t="shared" ca="1" si="134"/>
        <v/>
      </c>
      <c r="LW22" s="242" t="str">
        <f t="shared" ca="1" si="135"/>
        <v/>
      </c>
      <c r="LX22" s="242" t="str">
        <f ca="1">IF(LW22="",Stammdaten!$AM$4,INDEX(INDIRECT($B$4),MATCH($LW22,INDIRECT($B$5),0)))</f>
        <v>Darstellen und Tanzen</v>
      </c>
      <c r="LY22" s="242" t="str">
        <f ca="1">IF(LW22="",Stammdaten!$AY$27,IF(ISNUMBER(LU22),LX22,IF(ISNUMBER(LV22),TRIM(Stammdaten!$AX$25),"")))</f>
        <v>nicht durchgeführt</v>
      </c>
      <c r="LZ22" s="242" t="str">
        <f t="shared" ca="1" si="136"/>
        <v>Darstellen und Tanzen</v>
      </c>
      <c r="MA22" s="242" t="str">
        <f t="shared" ca="1" si="137"/>
        <v/>
      </c>
      <c r="MB22" s="242" t="str">
        <f t="shared" ca="1" si="26"/>
        <v>Darstellen und TanzenResultat[@Resultat]</v>
      </c>
      <c r="MC22" s="274" t="str">
        <f t="shared" ca="1" si="138"/>
        <v/>
      </c>
      <c r="MD22" s="242" t="str">
        <f t="shared" ca="1" si="139"/>
        <v>Darstellen und TanzenSkalawert[@[Skala-Wert]]</v>
      </c>
      <c r="ME22" s="274" t="str">
        <f t="shared" ca="1" si="140"/>
        <v/>
      </c>
      <c r="MF22" s="47" t="str">
        <f t="shared" ca="1" si="27"/>
        <v/>
      </c>
      <c r="MG22" s="200" t="str">
        <f t="shared" ca="1" si="141"/>
        <v>StdDisziplinen[MaxTextSt]</v>
      </c>
      <c r="MH22" s="200" t="str">
        <f t="shared" ca="1" si="142"/>
        <v/>
      </c>
      <c r="MI22" s="45"/>
      <c r="MJ22" s="98" t="str">
        <f ca="1">IF(LP22&gt;0,MAX(LM22:LO22),IF(LQ22&gt;0,$A$3,INDEX(StdFehler[StdFehler],4)))</f>
        <v>Zu wenige Noten</v>
      </c>
      <c r="MK22" s="45"/>
      <c r="ML22" s="37"/>
      <c r="MM22" s="190"/>
      <c r="MN22" s="586">
        <f>IF(MN$16,IF(MO$16=0.5,MROUND(BasketballResultat[[#This Row],[Resultat]],MO$16),ROUND(BasketballResultat[[#This Row],[Resultat]],MO$16)),ROUNDDOWN(BasketballResultat[[#This Row],[Resultat]],MO$16))</f>
        <v>0</v>
      </c>
      <c r="MO22" s="191" t="str">
        <f>IF(OR(Geschlecht[[#This Row],[Geschlecht (Skala)]]="",ML$16=""),"",MID(Geschlecht[[#This Row],[Geschlecht (Skala)]],1,1)&amp;MID(ML$16,1,1))</f>
        <v/>
      </c>
      <c r="MP22" s="190" t="str">
        <f>IF(OR(MO22="",BasketballResultat[[#This Row],[Resultat]]=""),"",REPLACE(INDEX(StdDisziplinen[TabÜberschriftResultat],ML$3),FIND("X",INDEX(StdDisziplinen[TabÜberschriftResultat],ML$3),1),2,MO22))</f>
        <v/>
      </c>
      <c r="MQ22" s="31" t="str">
        <f ca="1">IF(MP22="","",IF(OR(BasketballResultat[[#This Row],[Resultat]]=Stammdaten!$AX$22,BasketballResultat[[#This Row],[Resultat]]=Stammdaten!$AX$19),Stammdaten!$AX$19,IF(ISNA(INDEX(INDIRECT(MP22),MATCH(BasketballGerundet[[#This Row],[Rundung]],INDIRECT(MP22),MP$18))),IF(MP$18=-1,LARGE(INDIRECT(MP22),1),SMALL(INDIRECT(MP22),1)),INDEX(INDIRECT(MP22),MATCH(BasketballGerundet[[#This Row],[Rundung]],INDIRECT(MP22),MP$18)))))</f>
        <v/>
      </c>
      <c r="MS22" s="18" t="str">
        <f ca="1">IF(BasketballSkalawert[[#This Row],[Skala-Wert]]="","",REPLACE(INDEX(StdDisziplinen[TabÜberschriftNote],ML$3),FIND("X",INDEX(StdDisziplinen[TabÜberschriftNote],ML$3),1),2,MO22))</f>
        <v/>
      </c>
      <c r="MT22" s="31" t="str">
        <f ca="1">IF(OR(MS22="",BasketballSkalawert[[#This Row],[Skala-Wert]]=Stammdaten!$AX$19),"",INDEX(INDIRECT(MS22),MATCH(BasketballSkalawert[[#This Row],[Skala-Wert]],INDIRECT(MP22),0)))</f>
        <v/>
      </c>
      <c r="MU22" s="31"/>
      <c r="MV22" s="37"/>
      <c r="MW22" s="190"/>
      <c r="MX22" s="586">
        <f>IF(MX$16,IF(MY$16=0.5,MROUND(FussballResultat[[#This Row],[Resultat]],MY$16),ROUND(FussballResultat[[#This Row],[Resultat]],MY$16)),ROUNDDOWN(FussballResultat[[#This Row],[Resultat]],MY$16))</f>
        <v>0</v>
      </c>
      <c r="MY22" s="191" t="str">
        <f>IF(OR(Geschlecht[[#This Row],[Geschlecht (Skala)]]="",MV$16=""),"",MID(Geschlecht[[#This Row],[Geschlecht (Skala)]],1,1)&amp;MID(MV$16,1,1))</f>
        <v/>
      </c>
      <c r="MZ22" s="190" t="str">
        <f>IF(OR(MY22="",FussballResultat[[#This Row],[Resultat]]=""),"",REPLACE(INDEX(StdDisziplinen[TabÜberschriftResultat],MV$3),FIND("X",INDEX(StdDisziplinen[TabÜberschriftResultat],MV$3),1),2,MY22))</f>
        <v/>
      </c>
      <c r="NA22" s="31" t="str">
        <f ca="1">IF(MZ22="","",IF(OR(FussballResultat[[#This Row],[Resultat]]=Stammdaten!$AX$22,FussballResultat[[#This Row],[Resultat]]=Stammdaten!$AX$19),Stammdaten!$AX$19,IF(ISNA(INDEX(INDIRECT(MZ22),MATCH(FussballGerundet[[#This Row],[Rundung]],INDIRECT(MZ22),MZ$18))),IF(MZ$18=-1,LARGE(INDIRECT(MZ22),1),SMALL(INDIRECT(MZ22),1)),INDEX(INDIRECT(MZ22),MATCH(FussballGerundet[[#This Row],[Rundung]],INDIRECT(MZ22),MZ$18)))))</f>
        <v/>
      </c>
      <c r="NC22" s="18" t="str">
        <f ca="1">IF(FussballSkalawert[[#This Row],[Skala-Wert]]="","",REPLACE(INDEX(StdDisziplinen[TabÜberschriftNote],MV$3),FIND("X",INDEX(StdDisziplinen[TabÜberschriftNote],MV$3),1),2,MY22))</f>
        <v/>
      </c>
      <c r="ND22" s="31" t="str">
        <f ca="1">IF(OR(NC22="",FussballSkalawert[[#This Row],[Skala-Wert]]=Stammdaten!$AX$19),"",INDEX(INDIRECT(NC22),MATCH(FussballSkalawert[[#This Row],[Skala-Wert]],INDIRECT(MZ22),0)))</f>
        <v/>
      </c>
      <c r="NE22" s="31"/>
      <c r="NF22" s="37"/>
      <c r="NG22" s="190"/>
      <c r="NH22" s="586">
        <f>IF(NH$16,IF(NI$16=0.5,MROUND(HandballResultat[[#This Row],[Resultat]],NI$16),ROUND(HandballResultat[[#This Row],[Resultat]],NI$16)),ROUNDDOWN(HandballResultat[[#This Row],[Resultat]],NI$16))</f>
        <v>0</v>
      </c>
      <c r="NI22" s="191" t="str">
        <f>IF(OR(Geschlecht[[#This Row],[Geschlecht (Skala)]]="",NF$16=""),"",MID(Geschlecht[[#This Row],[Geschlecht (Skala)]],1,1)&amp;MID(NF$16,1,1))</f>
        <v/>
      </c>
      <c r="NJ22" s="190" t="str">
        <f>IF(OR(NI22="",HandballResultat[[#This Row],[Resultat]]=""),"",REPLACE(INDEX(StdDisziplinen[TabÜberschriftResultat],NF$3),FIND("X",INDEX(StdDisziplinen[TabÜberschriftResultat],NF$3),1),2,NI22))</f>
        <v/>
      </c>
      <c r="NK22" s="31" t="str">
        <f ca="1">IF(NJ22="","",IF(OR(HandballResultat[[#This Row],[Resultat]]=Stammdaten!$AX$22,HandballResultat[[#This Row],[Resultat]]=Stammdaten!$AX$19),Stammdaten!$AX$19,IF(ISNA(INDEX(INDIRECT(NJ22),MATCH(HandballGerundet[[#This Row],[Rundung]],INDIRECT(NJ22),NJ$18))),IF(NJ$18=-1,LARGE(INDIRECT(NJ22),1),SMALL(INDIRECT(NJ22),1)),INDEX(INDIRECT(NJ22),MATCH(HandballGerundet[[#This Row],[Rundung]],INDIRECT(NJ22),NJ$18)))))</f>
        <v/>
      </c>
      <c r="NM22" s="18" t="str">
        <f ca="1">IF(HandballSkalawert[[#This Row],[Skala-Wert]]="","",REPLACE(INDEX(StdDisziplinen[TabÜberschriftNote],NF$3),FIND("X",INDEX(StdDisziplinen[TabÜberschriftNote],NF$3),1),2,NI22))</f>
        <v/>
      </c>
      <c r="NN22" s="31" t="str">
        <f ca="1">IF(OR(NM22="",HandballSkalawert[[#This Row],[Skala-Wert]]=Stammdaten!$AX$19),"",INDEX(INDIRECT(NM22),MATCH(HandballSkalawert[[#This Row],[Skala-Wert]],INDIRECT(NJ22),0)))</f>
        <v/>
      </c>
      <c r="NO22" s="31"/>
      <c r="NP22" s="37"/>
      <c r="NQ22" s="190"/>
      <c r="NR22" s="586">
        <f>IF(NR$16,IF(NS$16=0.5,MROUND(UnihockeyResultat[[#This Row],[Resultat]],NS$16),ROUND(UnihockeyResultat[[#This Row],[Resultat]],NS$16)),ROUNDDOWN(UnihockeyResultat[[#This Row],[Resultat]],NS$16))</f>
        <v>0</v>
      </c>
      <c r="NS22" s="191" t="str">
        <f>IF(OR(Geschlecht[[#This Row],[Geschlecht (Skala)]]="",NP$16=""),"",MID(Geschlecht[[#This Row],[Geschlecht (Skala)]],1,1)&amp;MID(NP$16,1,1))</f>
        <v/>
      </c>
      <c r="NT22" s="190" t="str">
        <f>IF(OR(NS22="",UnihockeyResultat[[#This Row],[Resultat]]=""),"",REPLACE(INDEX(StdDisziplinen[TabÜberschriftResultat],NP$3),FIND("X",INDEX(StdDisziplinen[TabÜberschriftResultat],NP$3),1),2,NS22))</f>
        <v/>
      </c>
      <c r="NU22" s="31" t="str">
        <f ca="1">IF(NT22="","",IF(OR(UnihockeyResultat[[#This Row],[Resultat]]=Stammdaten!$AX$22,UnihockeyResultat[[#This Row],[Resultat]]=Stammdaten!$AX$19),Stammdaten!$AX$19,IF(ISNA(INDEX(INDIRECT(NT22),MATCH(UnihockeyGerundet[[#This Row],[Rundung]],INDIRECT(NT22),NT$18))),IF(NT$18=-1,LARGE(INDIRECT(NT22),1),SMALL(INDIRECT(NT22),1)),INDEX(INDIRECT(NT22),MATCH(UnihockeyGerundet[[#This Row],[Rundung]],INDIRECT(NT22),NT$18)))))</f>
        <v/>
      </c>
      <c r="NW22" s="18" t="str">
        <f ca="1">IF(UnihockeySkalawert[[#This Row],[Skala-Wert]]="","",REPLACE(INDEX(StdDisziplinen[TabÜberschriftNote],NP$3),FIND("X",INDEX(StdDisziplinen[TabÜberschriftNote],NP$3),1),2,NS22))</f>
        <v/>
      </c>
      <c r="NX22" s="31" t="str">
        <f ca="1">IF(OR(NW22="",UnihockeySkalawert[[#This Row],[Skala-Wert]]=Stammdaten!$AX$19),"",INDEX(INDIRECT(NW22),MATCH(UnihockeySkalawert[[#This Row],[Skala-Wert]],INDIRECT(NT22),0)))</f>
        <v/>
      </c>
      <c r="NY22" s="31"/>
      <c r="NZ22" s="597"/>
      <c r="OA22" s="190"/>
      <c r="OB22" s="587">
        <f>IF(OB$16,IF(OC$16=0.5,MROUND(VolleyballResultat[[#This Row],[Resultat]],OC$16),ROUND(VolleyballResultat[[#This Row],[Resultat]],OC$16)),ROUNDDOWN(VolleyballResultat[[#This Row],[Resultat]],OC$16))</f>
        <v>0</v>
      </c>
      <c r="OC22" s="191" t="str">
        <f>IF(OR(Geschlecht[[#This Row],[Geschlecht (Skala)]]="",NZ$16=""),"",MID(Geschlecht[[#This Row],[Geschlecht (Skala)]],1,1)&amp;MID(NZ$16,1,1))</f>
        <v/>
      </c>
      <c r="OD22" s="190" t="str">
        <f>IF(OR(OC22="",VolleyballResultat[[#This Row],[Resultat]]=""),"",REPLACE(INDEX(StdDisziplinen[TabÜberschriftResultat],NZ$3),FIND("X",INDEX(StdDisziplinen[TabÜberschriftResultat],NZ$3),1),2,OC22))</f>
        <v/>
      </c>
      <c r="OE22" s="192" t="str">
        <f ca="1">IF(OD22="","",IF(OR(VolleyballResultat[[#This Row],[Resultat]]=Stammdaten!$AX$22,VolleyballResultat[[#This Row],[Resultat]]=Stammdaten!$AX$19),Stammdaten!$AX$19,IF(ISNA(INDEX(INDIRECT(OD22),MATCH(VolleyballGerundet[[#This Row],[Rundung]],INDIRECT(OD22),OD$18))),IF(OD$18=-1,LARGE(INDIRECT(OD22),1),SMALL(INDIRECT(OD22),1)),INDEX(INDIRECT(OD22),MATCH(VolleyballGerundet[[#This Row],[Rundung]],INDIRECT(OD22),OD$18)))))</f>
        <v/>
      </c>
      <c r="OG22" s="18" t="str">
        <f ca="1">IF(VolleyballSkalawert[[#This Row],[Skala-Wert]]="","",REPLACE(INDEX(StdDisziplinen[TabÜberschriftNote],NZ$3),FIND("X",INDEX(StdDisziplinen[TabÜberschriftNote],NZ$3),1),2,OC22))</f>
        <v/>
      </c>
      <c r="OH22" s="31" t="str">
        <f ca="1">IF(OR(OG22="",VolleyballSkalawert[[#This Row],[Skala-Wert]]=Stammdaten!$AX$19),"",INDEX(INDIRECT(OG22),MATCH(VolleyballSkalawert[[#This Row],[Skala-Wert]],INDIRECT(OD22),0)))</f>
        <v/>
      </c>
      <c r="OI22" s="45"/>
      <c r="OJ22" s="31">
        <f ca="1">IF(BasketballSkalawert[[#This Row],[Skala-Wert]]=$A$3,$A$2,IF(BasketballNote[[#This Row],[Note]]="",0,BasketballNote[[#This Row],[Note]]))</f>
        <v>0</v>
      </c>
      <c r="OK22" s="31">
        <f ca="1">IF(FussballSkalawert[[#This Row],[Skala-Wert]]=$A$3,$A$2,IF(FussballNote[[#This Row],[Note]]="",0,FussballNote[[#This Row],[Note]]))</f>
        <v>0</v>
      </c>
      <c r="OL22" s="31">
        <f ca="1">IF(HandballSkalawert[[#This Row],[Skala-Wert]]=$A$3,$A$2,IF(HandballNote[[#This Row],[Note]]="",0,HandballNote[[#This Row],[Note]]))</f>
        <v>0</v>
      </c>
      <c r="OM22" s="31">
        <f ca="1">IF(UnihockeySkalawert[[#This Row],[Skala-Wert]]=$A$3,$A$2,IF(UnihockeyNote[[#This Row],[Note]]="",0,UnihockeyNote[[#This Row],[Note]]))</f>
        <v>0</v>
      </c>
      <c r="ON22" s="31">
        <f ca="1">IF(VolleyballSkalawert[[#This Row],[Skala-Wert]]=$A$3,$A$2,IF(VolleyballNote[[#This Row],[Note]]="",0,VolleyballNote[[#This Row],[Note]]))</f>
        <v>0</v>
      </c>
      <c r="OO22" s="202">
        <f t="shared" ca="1" si="28"/>
        <v>0</v>
      </c>
      <c r="OP22" s="202">
        <f t="shared" ca="1" si="29"/>
        <v>0</v>
      </c>
      <c r="OQ22" s="202">
        <f t="shared" ca="1" si="143"/>
        <v>0</v>
      </c>
      <c r="OR22" s="96" t="str">
        <f t="shared" ca="1" si="144"/>
        <v>!</v>
      </c>
      <c r="OS22" s="96" t="str">
        <f t="shared" ca="1" si="30"/>
        <v>!</v>
      </c>
      <c r="OT22" s="96" t="str">
        <f t="shared" ca="1" si="31"/>
        <v>!</v>
      </c>
      <c r="OU22" s="96" t="str">
        <f ca="1">IF(NOT(OQ22),INDEX(StdFehler[StdFehler],4),IF(COUNTIF(OR22:OT22,$A$2)&gt;=$OQ$13,$A$3,ROUND(AVERAGE(OR22:OT22)/$RX$4,0)*$RX$4))</f>
        <v>Zu wenige Noten</v>
      </c>
      <c r="OV22" s="244" t="str">
        <f t="shared" ca="1" si="145"/>
        <v>nd</v>
      </c>
      <c r="OW22" s="244" t="str">
        <f t="shared" ca="1" si="146"/>
        <v>nd</v>
      </c>
      <c r="OX22" s="244" t="str">
        <f t="shared" ca="1" si="147"/>
        <v>nd</v>
      </c>
      <c r="OY22" s="244" t="str">
        <f t="shared" ca="1" si="148"/>
        <v>nd</v>
      </c>
      <c r="OZ22" s="244" t="str">
        <f t="shared" ca="1" si="149"/>
        <v>nd</v>
      </c>
      <c r="PA22" s="202" t="b">
        <f t="shared" ca="1" si="150"/>
        <v>0</v>
      </c>
      <c r="PB22" s="202">
        <f t="shared" ca="1" si="151"/>
        <v>1</v>
      </c>
      <c r="PC22" s="202">
        <f t="shared" ca="1" si="152"/>
        <v>0</v>
      </c>
      <c r="PD22" s="96" t="str">
        <f t="shared" ca="1" si="153"/>
        <v/>
      </c>
      <c r="PE22" s="96" t="str">
        <f t="shared" ca="1" si="154"/>
        <v/>
      </c>
      <c r="PF22" s="200">
        <f t="shared" ca="1" si="155"/>
        <v>0</v>
      </c>
      <c r="PG22" s="202" t="str">
        <f t="shared" ca="1" si="156"/>
        <v/>
      </c>
      <c r="PH22" s="200" t="str">
        <f t="shared" ca="1" si="157"/>
        <v/>
      </c>
      <c r="PI22" s="200" t="str">
        <f t="shared" ca="1" si="158"/>
        <v/>
      </c>
      <c r="PJ22" s="200" t="str">
        <f t="shared" ca="1" si="159"/>
        <v/>
      </c>
      <c r="PK22" s="242" t="str">
        <f t="shared" ca="1" si="160"/>
        <v/>
      </c>
      <c r="PL22" s="242" t="str">
        <f t="shared" ca="1" si="161"/>
        <v/>
      </c>
      <c r="PM22" s="242" t="str">
        <f t="shared" ca="1" si="162"/>
        <v/>
      </c>
      <c r="PN22" s="242" t="str">
        <f t="shared" ca="1" si="163"/>
        <v>Erste Spielsportart</v>
      </c>
      <c r="PO22" s="242" t="str">
        <f ca="1">IF(PN22=$PM$11,Stammdaten!$AY$27,IF(PR22=$A$2,TRIM(Stammdaten!$AX$25),""))</f>
        <v>nicht durchgeführt</v>
      </c>
      <c r="PP22" s="242" t="str">
        <f t="shared" ca="1" si="164"/>
        <v/>
      </c>
      <c r="PQ22" s="202" t="str">
        <f t="shared" ca="1" si="165"/>
        <v>Erste SpielsportartResultat[@Resultat]</v>
      </c>
      <c r="PR22" s="98" t="str">
        <f t="shared" ca="1" si="166"/>
        <v/>
      </c>
      <c r="PS22" s="202" t="str">
        <f t="shared" ca="1" si="167"/>
        <v/>
      </c>
      <c r="PT22" s="202" t="str">
        <f t="shared" ca="1" si="168"/>
        <v>Erste SpielsportartSkalawert[@[Skala-Wert]]</v>
      </c>
      <c r="PU22" s="98" t="str">
        <f t="shared" ca="1" si="169"/>
        <v/>
      </c>
      <c r="PV22" s="202" t="str">
        <f t="shared" ca="1" si="170"/>
        <v/>
      </c>
      <c r="PW22" s="202" t="str">
        <f t="shared" ca="1" si="171"/>
        <v/>
      </c>
      <c r="PX22" s="202" t="str">
        <f t="shared" ca="1" si="172"/>
        <v>StdDisziplinen[MaxTextSt]</v>
      </c>
      <c r="PY22" s="202" t="str">
        <f t="shared" ca="1" si="173"/>
        <v/>
      </c>
      <c r="PZ22" s="202" t="b">
        <f t="shared" ca="1" si="174"/>
        <v>0</v>
      </c>
      <c r="QA22" s="202" t="str">
        <f t="shared" ca="1" si="175"/>
        <v/>
      </c>
      <c r="QB22" s="202" t="str">
        <f t="shared" ca="1" si="32"/>
        <v/>
      </c>
      <c r="QC22" s="202" t="str">
        <f t="shared" ca="1" si="176"/>
        <v/>
      </c>
      <c r="QD22" s="202" t="str">
        <f t="shared" ca="1" si="177"/>
        <v/>
      </c>
      <c r="QE22" s="242" t="str">
        <f t="shared" ca="1" si="178"/>
        <v/>
      </c>
      <c r="QF22" s="242" t="str">
        <f t="shared" ca="1" si="179"/>
        <v/>
      </c>
      <c r="QG22" s="242" t="str">
        <f t="shared" ca="1" si="180"/>
        <v>Zweite Spielsportart</v>
      </c>
      <c r="QH22" s="242" t="str">
        <f ca="1">IF(QG22=$QF$11,Stammdaten!$AY$27,IF(QK22=$A$2,TRIM(Stammdaten!$AX$25),""))</f>
        <v>nicht durchgeführt</v>
      </c>
      <c r="QI22" s="242" t="str">
        <f t="shared" ca="1" si="181"/>
        <v/>
      </c>
      <c r="QJ22" s="202" t="str">
        <f t="shared" ca="1" si="182"/>
        <v>Zweite SpielsportartResultat[@Resultat]</v>
      </c>
      <c r="QK22" s="98" t="str">
        <f t="shared" ca="1" si="183"/>
        <v/>
      </c>
      <c r="QL22" s="202" t="str">
        <f t="shared" ca="1" si="184"/>
        <v/>
      </c>
      <c r="QM22" s="202" t="str">
        <f t="shared" ca="1" si="185"/>
        <v>Zweite SpielsportartSkalawert[@[Skala-Wert]]</v>
      </c>
      <c r="QN22" s="98" t="str">
        <f t="shared" ca="1" si="186"/>
        <v/>
      </c>
      <c r="QO22" s="202" t="str">
        <f t="shared" ca="1" si="187"/>
        <v/>
      </c>
      <c r="QP22" s="202" t="str">
        <f t="shared" ca="1" si="188"/>
        <v/>
      </c>
      <c r="QQ22" s="202" t="str">
        <f t="shared" ca="1" si="189"/>
        <v>StdDisziplinen[MaxTextSt]</v>
      </c>
      <c r="QR22" s="202" t="str">
        <f t="shared" ca="1" si="190"/>
        <v/>
      </c>
      <c r="QS22" s="202" t="b">
        <f t="shared" ca="1" si="191"/>
        <v>0</v>
      </c>
      <c r="QT22" s="242" t="str">
        <f t="shared" ca="1" si="33"/>
        <v>Dritte Spielsportart</v>
      </c>
      <c r="QU22" s="242" t="str">
        <f ca="1">IF(QT22=$QT$11,MID(Stammdaten!$AX$27,2,LEN(Stammdaten!$AX$27)),IF(QX22=$A$2,TRIM(Stammdaten!$AX$25),""))</f>
        <v>nicht durchgeführt</v>
      </c>
      <c r="QV22" s="242" t="str">
        <f t="shared" ca="1" si="34"/>
        <v/>
      </c>
      <c r="QW22" s="202" t="str">
        <f t="shared" ca="1" si="192"/>
        <v>Dritte SpielsportartResultat[@Resultat]</v>
      </c>
      <c r="QX22" s="98" t="str">
        <f t="shared" ca="1" si="193"/>
        <v/>
      </c>
      <c r="QY22" s="202" t="str">
        <f t="shared" ca="1" si="35"/>
        <v/>
      </c>
      <c r="QZ22" s="202" t="str">
        <f t="shared" ca="1" si="194"/>
        <v>Dritte SpielsportartSkalawert[@[Skala-Wert]]</v>
      </c>
      <c r="RA22" s="98" t="str">
        <f t="shared" ca="1" si="195"/>
        <v/>
      </c>
      <c r="RB22" s="202" t="str">
        <f t="shared" ca="1" si="36"/>
        <v/>
      </c>
      <c r="RC22" s="202" t="str">
        <f t="shared" ca="1" si="196"/>
        <v/>
      </c>
      <c r="RD22" s="202" t="str">
        <f t="shared" ca="1" si="197"/>
        <v>StdDisziplinen[MaxTextSt]</v>
      </c>
      <c r="RE22" s="202" t="str">
        <f t="shared" ca="1" si="37"/>
        <v/>
      </c>
      <c r="RF22" s="244">
        <f t="shared" ca="1" si="38"/>
        <v>99</v>
      </c>
      <c r="RG22" s="244">
        <f t="shared" ca="1" si="39"/>
        <v>99</v>
      </c>
      <c r="RH22" s="244">
        <f t="shared" ca="1" si="40"/>
        <v>99</v>
      </c>
      <c r="RI22" s="244">
        <f t="shared" ca="1" si="41"/>
        <v>99</v>
      </c>
      <c r="RJ22" s="244">
        <f t="shared" ca="1" si="42"/>
        <v>99</v>
      </c>
      <c r="RK22" s="244">
        <f t="shared" ca="1" si="198"/>
        <v>99</v>
      </c>
      <c r="RL22" s="244">
        <f t="shared" ca="1" si="199"/>
        <v>99</v>
      </c>
      <c r="RM22" s="244">
        <f t="shared" ca="1" si="200"/>
        <v>99</v>
      </c>
      <c r="RN22" s="244">
        <f t="shared" ca="1" si="201"/>
        <v>99</v>
      </c>
      <c r="RO22" s="244">
        <f t="shared" ca="1" si="202"/>
        <v>99</v>
      </c>
      <c r="RP22" s="202" t="str">
        <f t="shared" ca="1" si="43"/>
        <v>Zu wenige Noten</v>
      </c>
      <c r="RQ22" s="202" t="str">
        <f t="shared" ca="1" si="203"/>
        <v>Zu wenige Noten</v>
      </c>
      <c r="RR22" s="202" t="str">
        <f t="shared" ca="1" si="203"/>
        <v>Zu wenige Noten</v>
      </c>
      <c r="RS22" s="202" t="str">
        <f t="shared" ca="1" si="204"/>
        <v>Zu wenige Noten</v>
      </c>
      <c r="RT22" s="202" t="str">
        <f t="shared" ca="1" si="204"/>
        <v>Zu wenige Noten</v>
      </c>
      <c r="RU22" s="202" t="str">
        <f t="shared" ca="1" si="205"/>
        <v>Zu wenige Noten</v>
      </c>
      <c r="RV22" s="202" t="str">
        <f t="shared" ca="1" si="206"/>
        <v>Zu wenige Noten</v>
      </c>
      <c r="RW22" s="31"/>
      <c r="RX22" s="56" t="str">
        <f t="shared" ca="1" si="44"/>
        <v>Zu wenige Noten</v>
      </c>
      <c r="RY22" s="31"/>
      <c r="RZ22" s="31" t="str">
        <f t="shared" ca="1" si="45"/>
        <v>Zu wenige Noten</v>
      </c>
      <c r="SA22" s="31" t="str">
        <f t="shared" ca="1" si="46"/>
        <v>Zu wenige Noten</v>
      </c>
      <c r="SB22" s="45" t="str">
        <f t="shared" ca="1" si="47"/>
        <v>Zu wenige Noten</v>
      </c>
      <c r="SC22" s="31" t="str">
        <f t="shared" ca="1" si="207"/>
        <v>Zu wenige Noten</v>
      </c>
      <c r="SD22" s="31" t="str">
        <f t="shared" ca="1" si="208"/>
        <v>Zu wenige Noten</v>
      </c>
      <c r="SE22" s="31" t="str">
        <f t="shared" ca="1" si="48"/>
        <v>Zu wenige Noten</v>
      </c>
      <c r="SF22" s="31" t="str">
        <f t="shared" ca="1" si="209"/>
        <v>Zu wenige Noten</v>
      </c>
      <c r="SG22" s="31" t="str">
        <f t="shared" ca="1" si="48"/>
        <v>Zu wenige Noten</v>
      </c>
      <c r="SH22" s="36">
        <f t="shared" ca="1" si="210"/>
        <v>0</v>
      </c>
      <c r="SI22" s="36">
        <f t="shared" ca="1" si="211"/>
        <v>0</v>
      </c>
      <c r="SJ22" s="36">
        <f t="shared" ca="1" si="212"/>
        <v>0</v>
      </c>
      <c r="SK22" s="31">
        <f t="shared" ca="1" si="213"/>
        <v>99</v>
      </c>
      <c r="SL22" s="31">
        <f t="shared" ca="1" si="214"/>
        <v>99</v>
      </c>
      <c r="SM22" s="36" t="str">
        <f t="shared" ca="1" si="215"/>
        <v>99.0</v>
      </c>
      <c r="SN22" s="31">
        <f t="shared" ca="1" si="216"/>
        <v>99</v>
      </c>
      <c r="SO22" s="36" t="str">
        <f ca="1">IF(NOT(SJ22),INDEX(StdFehler[StdFehler],4),IF(SI22=$SJ$13,$A$3,CONCATENATE(TEXT(SK22,"#.0"),", ",TEXT(SL22,"#.0"),", ",SM22,", ",TEXT(SN22,"#.0"))))</f>
        <v>Zu wenige Noten</v>
      </c>
      <c r="SP22" s="36" t="str">
        <f t="shared" ca="1" si="49"/>
        <v>Zu wenige Noten</v>
      </c>
      <c r="SQ22" s="36" t="str">
        <f t="shared" ca="1" si="49"/>
        <v>Zu wenige Noten</v>
      </c>
      <c r="SR22" s="36" t="str">
        <f t="shared" ca="1" si="49"/>
        <v>Zu wenige Noten</v>
      </c>
      <c r="SS22" s="36" t="str">
        <f t="shared" ca="1" si="49"/>
        <v>Zu wenige Noten</v>
      </c>
      <c r="ST22" s="36" t="str">
        <f t="shared" ca="1" si="217"/>
        <v>Zu wenige Noten</v>
      </c>
      <c r="SU22" s="36"/>
      <c r="SV22" s="214" t="str">
        <f t="shared" si="218"/>
        <v>D</v>
      </c>
      <c r="SW22" s="36"/>
      <c r="SX22" s="214" t="str">
        <f t="shared" si="219"/>
        <v>D</v>
      </c>
      <c r="SY22" s="36"/>
      <c r="SZ22" s="214" t="str">
        <f t="shared" si="220"/>
        <v>D</v>
      </c>
      <c r="TA22" s="36"/>
      <c r="TB22" s="214" t="str">
        <f t="shared" si="221"/>
        <v>D</v>
      </c>
      <c r="TC22" s="31"/>
      <c r="TD22" s="36" t="str">
        <f t="shared" ca="1" si="222"/>
        <v>Zu wenige Noten</v>
      </c>
      <c r="TE22" s="31"/>
      <c r="TF22" s="193" t="str">
        <f ca="1">IF(NOT(SJ22),INDEX(StdFehler[StdFehler],4),IF(SI22=$TF$4,$A$3,ROUND(AVERAGE(RZ22:SC22)/$TF$5,0)*$TF$5))</f>
        <v>Zu wenige Noten</v>
      </c>
      <c r="TH22" s="595" t="str">
        <f>IF(OR($TH$18=Stammdaten!$AX$20,$TH$18=""),Stammdaten!$AX$20,$TH$18)</f>
        <v>Disziplin</v>
      </c>
      <c r="TI22" s="33"/>
      <c r="TJ22" s="33" t="str">
        <f>IF(OR(Geschlecht[[#This Row],[Geschlecht (Skala)]]="",TH22="",TH22=Stammdaten!$AX$20),"",REPLACE(INDEX(StdDisziplinen[TabÜberschriftResultat],TH$3),FIND("XX",INDEX(StdDisziplinen[TabÜberschriftResultat],TH$3),1),2,Geschlecht[[#This Row],[Geschlecht (Skala)]]))</f>
        <v/>
      </c>
      <c r="TK22" s="596"/>
      <c r="TM22" s="37"/>
      <c r="TN22" s="40"/>
      <c r="TO22" s="587">
        <f>IF(TO$16,IF(TP$16=0.5,MROUND(SchwimmenResultat[[#This Row],[Resultat]],TP$16),ROUND(SchwimmenResultat[[#This Row],[Resultat]],TP$16)),ROUNDDOWN(SchwimmenResultat[[#This Row],[Resultat]],TP$16))</f>
        <v>0</v>
      </c>
      <c r="TP22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2" s="153" t="str">
        <f ca="1">IF(TP22="","",IF(OR(SchwimmenResultat[[#This Row],[Resultat]]=Stammdaten!$AX$22,SchwimmenResultat[[#This Row],[Resultat]]=Stammdaten!$AX$19),Stammdaten!$AX$19,IF(ISNA(INDEX(INDIRECT(TP22),MATCH(SchwimmenGerundet[[#This Row],[Rundung]],INDIRECT(TP22),TP$18))),IF(TP$18=-1,LARGE(INDIRECT(TP22),1),SMALL(INDIRECT(TP22),1)),INDEX(INDIRECT(TP22),MATCH(SchwimmenGerundet[[#This Row],[Rundung]],INDIRECT(TP22),TP$18)))))</f>
        <v/>
      </c>
      <c r="TS22" s="33" t="str">
        <f>IF(OR(TP22="",SchwimmenResultat[[#This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T22" s="36" t="str">
        <f ca="1">IF(OR(TS22="",SchwimmenSkalawert[[#This Row],[Skala-Wert]]=Stammdaten!$AX$19),"",INDEX(INDIRECT(TS22),MATCH(SchwimmenSkalawert[[#This Row],[Skala-Wert]],INDIRECT(TP22),0)))</f>
        <v/>
      </c>
      <c r="TU22" s="36"/>
      <c r="TV22" s="190" t="str">
        <f>IF(ZwölfMinLaufHalleResultat[[#This Row],[Resultat]]=0,"",ZwölfMinLaufHalleResultat[[#This Row],[Resultat]])</f>
        <v/>
      </c>
      <c r="TW22" s="190"/>
      <c r="TX22" s="31" t="str">
        <f ca="1">ZwölfMinLaufHalleSkalawert[[#This Row],[Skala-Wert]]</f>
        <v/>
      </c>
      <c r="TZ22" s="31" t="str">
        <f ca="1">ZwölfMinLaufHalleNote[[#This Row],[Note]]</f>
        <v/>
      </c>
      <c r="UA22" s="31"/>
      <c r="UB22" s="190" t="str">
        <f>IF(ZwölfMinLaufimFreienResultat[[#This Row],[Resultat]]=0,"",ZwölfMinLaufimFreienResultat[[#This Row],[Resultat]])</f>
        <v/>
      </c>
      <c r="UC22" s="190"/>
      <c r="UD22" s="192" t="str">
        <f ca="1">ZwölfMinLaufimFreienSkalawert[[#This Row],[Skala-Wert]]</f>
        <v/>
      </c>
      <c r="UF22" s="31" t="str">
        <f ca="1">ZwölfMinLaufimFreienNote[[#This Row],[Note]]</f>
        <v/>
      </c>
      <c r="UG22" s="31"/>
      <c r="UH22" s="597"/>
      <c r="UI22" s="190"/>
      <c r="UJ22" s="587">
        <f>IF(UJ$16,IF(UK$16=0.5,MROUND(BeweglichkeitResultat[[#This Row],[Resultat]],UK$16),ROUND(BeweglichkeitResultat[[#This Row],[Resultat]],UK$16)),ROUNDDOWN(BeweglichkeitResultat[[#This Row],[Resultat]],UK$16))</f>
        <v>0</v>
      </c>
      <c r="UK22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2" s="192" t="str">
        <f ca="1">IF(UK22="","",IF(OR(BeweglichkeitResultat[[#This Row],[Resultat]]=Stammdaten!$AX$22,BeweglichkeitResultat[[#This Row],[Resultat]]=Stammdaten!$AX$19),Stammdaten!$AX$19,IF(ISNA(INDEX(INDIRECT(UK22),MATCH(BeweglichkeitGerundet[[#This Row],[Rundung]],INDIRECT(UK22),UK$18))),IF(UK$18=-1,LARGE(INDIRECT(UK22),1),SMALL(INDIRECT(UK22),1)),INDEX(INDIRECT(UK22),MATCH(BeweglichkeitGerundet[[#This Row],[Rundung]],INDIRECT(UK22),UK$18)))))</f>
        <v/>
      </c>
      <c r="UN22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2" s="36" t="str">
        <f ca="1">IF(OR(UK22="",BeweglichkeitSkalawert[[#This Row],[Skala-Wert]]=Stammdaten!$AX$19),"",INDEX(INDIRECT(UN22),MATCH(BeweglichkeitSkalawert[[#This Row],[Skala-Wert]],INDIRECT(UK22),0)))</f>
        <v/>
      </c>
      <c r="UP22" s="31"/>
      <c r="UQ22" s="597"/>
      <c r="UR22" s="190"/>
      <c r="US22" s="587">
        <f>IF(US$16,IF(UT$16=0.5,MROUND(RumpfkraftResultat[[#This Row],[Resultat]],UT$16),ROUND(RumpfkraftResultat[[#This Row],[Resultat]],UT$16)),ROUNDDOWN(RumpfkraftResultat[[#This Row],[Resultat]],UT$16))</f>
        <v>0</v>
      </c>
      <c r="UT22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2" s="192" t="str">
        <f ca="1">IF(UT22="","",IF(OR(RumpfkraftResultat[[#This Row],[Resultat]]=Stammdaten!$AX$22,RumpfkraftResultat[[#This Row],[Resultat]]=Stammdaten!$AX$19),Stammdaten!$AX$19,IF(ISNA(INDEX(INDIRECT(UT22),MATCH(RumpfkraftGerundet[[#This Row],[Rundung]],INDIRECT(UT22),UT$18))),IF(UT$18=-1,LARGE(INDIRECT(UT22),1),SMALL(INDIRECT(UT22),1)),INDEX(INDIRECT(UT22),MATCH(RumpfkraftGerundet[[#This Row],[Rundung]],INDIRECT(UT22),UT$18)))))</f>
        <v/>
      </c>
      <c r="UW22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2" s="36" t="str">
        <f ca="1">IF(OR(UT22="",RumpfkraftSkalawert[[#This Row],[Skala-Wert]]=Stammdaten!$AX$19),"",INDEX(INDIRECT(UW22),MATCH(RumpfkraftSkalawert[[#This Row],[Skala-Wert]],INDIRECT(UT22),0)))</f>
        <v/>
      </c>
      <c r="UY22" s="31"/>
      <c r="UZ22" s="190" t="str">
        <f>IF(SechzigmLaufResultat[[#This Row],[Resultat]]=0,"",SechzigmLaufResultat[[#This Row],[Resultat]])</f>
        <v/>
      </c>
      <c r="VA22" s="190"/>
      <c r="VB22" s="45" t="str">
        <f ca="1">SechzigmLaufSkalawert[[#This Row],[Skala-Wert]]</f>
        <v/>
      </c>
      <c r="VD22" s="31" t="str">
        <f ca="1">SechzigmLaufNote[[#This Row],[Note]]</f>
        <v/>
      </c>
      <c r="VE22" s="31"/>
      <c r="VF22" s="190" t="str">
        <f>IF(AchtzigmLaufResultat[[#This Row],[Resultat]]=0,"",AchtzigmLaufResultat[[#This Row],[Resultat]])</f>
        <v/>
      </c>
      <c r="VG22" s="190"/>
      <c r="VH22" s="45" t="str">
        <f ca="1">AchtzigmLaufSkalawert[[#This Row],[Skala-Wert]]</f>
        <v/>
      </c>
      <c r="VJ22" s="31" t="str">
        <f ca="1">AchtzigmLaufNote[[#This Row],[Note]]</f>
        <v/>
      </c>
      <c r="VK22" s="31"/>
      <c r="VL22" s="37"/>
      <c r="VM22" s="190"/>
      <c r="VN22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2" s="191" t="str">
        <f>IF(OR(Geschlecht[[#This Row],[Geschlecht (Skala)]]="",VL$16=""),"",MID(Geschlecht[[#This Row],[Geschlecht (Skala)]],1,1)&amp;MID(VL$16,1,1))</f>
        <v/>
      </c>
      <c r="VP22" s="190" t="str">
        <f>IF(OR(VO22="",KonditionsparcoursResultat[[#This Row],[Resultat]]=""),"",REPLACE(INDEX(StdDisziplinen[TabÜberschriftResultat],VL$3),FIND("X",INDEX(StdDisziplinen[TabÜberschriftResultat],VL$3),1),2,VO22))</f>
        <v/>
      </c>
      <c r="VQ22" s="192" t="str">
        <f ca="1">IF(VP22="","",IF(OR(KonditionsparcoursResultat[[#This Row],[Resultat]]=Stammdaten!$AX$22,KonditionsparcoursResultat[[#This Row],[Resultat]]=Stammdaten!$AX$19),Stammdaten!$AX$19,IF(ISNA(INDEX(INDIRECT(VP22),MATCH(KonditionsparcoursGerundet[[#This Row],[Rundung]],INDIRECT(VP22),VP$18))),IF(VP$18=-1,LARGE(INDIRECT(VP22),1),SMALL(INDIRECT(VP22),1)),INDEX(INDIRECT(VP22),MATCH(KonditionsparcoursGerundet[[#This Row],[Rundung]],INDIRECT(VP22),VP$18)))))</f>
        <v/>
      </c>
      <c r="VS22" s="18" t="str">
        <f ca="1">IF(KonditionsparcoursSkalawert[[#This Row],[Skala-Wert]]="","",REPLACE(INDEX(StdDisziplinen[TabÜberschriftNote],VL$3),FIND("X",INDEX(StdDisziplinen[TabÜberschriftNote],VL$3),1),2,VO22))</f>
        <v/>
      </c>
      <c r="VT22" s="31" t="str">
        <f ca="1">IF(OR(VS22="",KonditionsparcoursSkalawert[[#This Row],[Skala-Wert]]=Stammdaten!$AX$19),"",INDEX(INDIRECT(VS22),MATCH(KonditionsparcoursSkalawert[[#This Row],[Skala-Wert]],INDIRECT(VP22),0)))</f>
        <v/>
      </c>
      <c r="VU22" s="22"/>
    </row>
    <row r="23" spans="1:593" x14ac:dyDescent="0.3">
      <c r="A23" s="30">
        <v>5</v>
      </c>
      <c r="B23" s="589"/>
      <c r="C23" s="589"/>
      <c r="E23" s="591"/>
      <c r="G23" s="37"/>
      <c r="H23" s="190"/>
      <c r="I23" s="154">
        <f>IF(I$16,IF(J$16=0.5,MROUND(SechzigmLaufResultat[[#This Row],[Resultat]],J$16),ROUND(SechzigmLaufResultat[[#This Row],[Resultat]],J$16)),ROUNDDOWN(SechzigmLaufResultat[[#This Row],[Resultat]],J$16))</f>
        <v>0</v>
      </c>
      <c r="J23" s="191" t="str">
        <f>IF(OR(Geschlecht[[#This Row],[Geschlecht (Skala)]]="",G$16=""),"",MID(Geschlecht[[#This Row],[Geschlecht (Skala)]],1,1)&amp;MID(G$16,1,1))</f>
        <v/>
      </c>
      <c r="K23" s="190" t="str">
        <f>IF(OR(J23="",SechzigmLaufResultat[[#This Row],[Resultat]]=""),"",REPLACE(INDEX(StdDisziplinen[TabÜberschriftResultat],G$3),FIND("X",INDEX(StdDisziplinen[TabÜberschriftResultat],G$3),1),2,J23))</f>
        <v/>
      </c>
      <c r="L23" s="45" t="str">
        <f ca="1">IF(K23="","",IF(OR(SechzigmLaufResultat[[#This Row],[Resultat]]=Stammdaten!$AX$22,SechzigmLaufResultat[[#This Row],[Resultat]]=Stammdaten!$AX$19),Stammdaten!$AX$19,IF(ISNA(INDEX(INDIRECT(K23),MATCH(SechzigmLaufGerundet[[#This Row],[Rundung]],INDIRECT(K23),K$18))),IF(K$18=-1,LARGE(INDIRECT(K23),1),SMALL(INDIRECT(K23),1)),INDEX(INDIRECT(K23),MATCH(SechzigmLaufGerundet[[#This Row],[Rundung]],INDIRECT(K23),K$18)))))</f>
        <v/>
      </c>
      <c r="N23" s="18" t="str">
        <f ca="1">IF(SechzigmLaufSkalawert[[#This Row],[Skala-Wert]]="","",REPLACE(INDEX(StdDisziplinen[TabÜberschriftNote],G$3),FIND("X",INDEX(StdDisziplinen[TabÜberschriftNote],G$3),1),2,J23))</f>
        <v/>
      </c>
      <c r="O23" s="31" t="str">
        <f ca="1">IF(OR(N23="",SechzigmLaufSkalawert[[#This Row],[Skala-Wert]]=Stammdaten!$AX$19),"",INDEX(INDIRECT(N23),MATCH(SechzigmLaufSkalawert[[#This Row],[Skala-Wert]],INDIRECT(K23),0)))</f>
        <v/>
      </c>
      <c r="P23" s="31"/>
      <c r="Q23" s="37"/>
      <c r="R23" s="190"/>
      <c r="S23" s="154">
        <f>IF(S$16,IF(T$16=0.5,MROUND(AchtzigmLaufResultat[[#This Row],[Resultat]],T$16),ROUND(AchtzigmLaufResultat[[#This Row],[Resultat]],T$16)),ROUNDDOWN(AchtzigmLaufResultat[[#This Row],[Resultat]],T$16))</f>
        <v>0</v>
      </c>
      <c r="T23" s="191" t="str">
        <f>IF(OR(Geschlecht[[#This Row],[Geschlecht (Skala)]]="",Q$16=""),"",MID(Geschlecht[[#This Row],[Geschlecht (Skala)]],1,1)&amp;MID(Q$16,1,1))</f>
        <v/>
      </c>
      <c r="U23" s="190" t="str">
        <f>IF(OR(T23="",AchtzigmLaufResultat[[#This Row],[Resultat]]=""),"",REPLACE(INDEX(StdDisziplinen[TabÜberschriftResultat],Q$3),FIND("X",INDEX(StdDisziplinen[TabÜberschriftResultat],Q$3),1),2,T23))</f>
        <v/>
      </c>
      <c r="V23" s="45" t="str">
        <f ca="1">IF(U23="","",IF(OR(AchtzigmLaufResultat[[#This Row],[Resultat]]=Stammdaten!$AX$22,AchtzigmLaufResultat[[#This Row],[Resultat]]=Stammdaten!$AX$19),Stammdaten!$AX$19,IF(ISNA(INDEX(INDIRECT(U23),MATCH(AchtzigmLaufGerundet[[#This Row],[Rundung]],INDIRECT(U23),U$18))),IF(U$18=-1,LARGE(INDIRECT(U23),1),SMALL(INDIRECT(U23),1)),INDEX(INDIRECT(U23),MATCH(AchtzigmLaufGerundet[[#This Row],[Rundung]],INDIRECT(U23),U$18)))))</f>
        <v/>
      </c>
      <c r="X23" s="18" t="str">
        <f ca="1">IF(AchtzigmLaufSkalawert[[#This Row],[Skala-Wert]]="","",REPLACE(INDEX(StdDisziplinen[TabÜberschriftNote],Q$3),FIND("X",INDEX(StdDisziplinen[TabÜberschriftNote],Q$3),1),2,T23))</f>
        <v/>
      </c>
      <c r="Y23" s="31" t="str">
        <f ca="1">IF(OR(X23="",AchtzigmLaufSkalawert[[#This Row],[Skala-Wert]]=Stammdaten!$AX$19),"",INDEX(INDIRECT(X23),MATCH(AchtzigmLaufSkalawert[[#This Row],[Skala-Wert]],INDIRECT(U23),0)))</f>
        <v/>
      </c>
      <c r="Z23" s="31"/>
      <c r="AA23" s="37"/>
      <c r="AB23" s="190"/>
      <c r="AC23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3" s="191" t="str">
        <f>IF(OR(Geschlecht[[#This Row],[Geschlecht (Skala)]]="",AA$16=""),"",MID(Geschlecht[[#This Row],[Geschlecht (Skala)]],1,1)&amp;MID(AA$16,1,1))</f>
        <v/>
      </c>
      <c r="AE23" s="190" t="str">
        <f>IF(OR(AD23="",ZwölfMinLaufHalleResultat[[#This Row],[Resultat]]=""),"",REPLACE(INDEX(StdDisziplinen[TabÜberschriftResultat],AA$3),FIND("X",INDEX(StdDisziplinen[TabÜberschriftResultat],AA$3),1),2,AD23))</f>
        <v/>
      </c>
      <c r="AF23" s="31" t="str">
        <f ca="1">IF(AE23="","",IF(OR(ZwölfMinLaufHalleResultat[[#This Row],[Resultat]]=Stammdaten!$AX$22,ZwölfMinLaufHalleResultat[[#This Row],[Resultat]]=Stammdaten!$AX$19),Stammdaten!$AX$19,IF(ISNA(INDEX(INDIRECT(AE23),MATCH(ZwölfMinLaufHalleGerundet[[#This Row],[Rundung]],INDIRECT(AE23),AE$18))),IF(AE$18=-1,LARGE(INDIRECT(AE23),1),SMALL(INDIRECT(AE23),1)),INDEX(INDIRECT(AE23),MATCH(ZwölfMinLaufHalleGerundet[[#This Row],[Rundung]],INDIRECT(AE23),AE$18)))))</f>
        <v/>
      </c>
      <c r="AH23" s="18" t="str">
        <f ca="1">IF(ZwölfMinLaufHalleSkalawert[[#This Row],[Skala-Wert]]="","",REPLACE(INDEX(StdDisziplinen[TabÜberschriftNote],AA$3),FIND("X",INDEX(StdDisziplinen[TabÜberschriftNote],AA$3),1),2,AD23))</f>
        <v/>
      </c>
      <c r="AI23" s="31" t="str">
        <f ca="1">IF(OR(AH23="",ZwölfMinLaufHalleSkalawert[[#This Row],[Skala-Wert]]=Stammdaten!$AX$19),"",INDEX(INDIRECT(AH23),MATCH(ZwölfMinLaufHalleSkalawert[[#This Row],[Skala-Wert]],INDIRECT(AE23),0)))</f>
        <v/>
      </c>
      <c r="AJ23" s="31"/>
      <c r="AK23" s="597"/>
      <c r="AL23" s="190"/>
      <c r="AM23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3" s="191" t="str">
        <f>IF(OR(Geschlecht[[#This Row],[Geschlecht (Skala)]]="",AK$16=""),"",MID(Geschlecht[[#This Row],[Geschlecht (Skala)]],1,1)&amp;MID(AK$16,1,1))</f>
        <v/>
      </c>
      <c r="AO23" s="190" t="str">
        <f>IF(OR(AN23="",ZwölfMinLaufimFreienResultat[[#This Row],[Resultat]]=""),"",REPLACE(INDEX(StdDisziplinen[TabÜberschriftResultat],AK$3),FIND("X",INDEX(StdDisziplinen[TabÜberschriftResultat],AK$3),1),2,AN23))</f>
        <v/>
      </c>
      <c r="AP23" s="192" t="str">
        <f ca="1">IF(AO23="","",IF(OR(ZwölfMinLaufimFreienResultat[[#This Row],[Resultat]]=Stammdaten!$AX$22,ZwölfMinLaufimFreienResultat[[#This Row],[Resultat]]=Stammdaten!$AX$19),Stammdaten!$AX$19,IF(ISNA(INDEX(INDIRECT(AO23),MATCH(ZwölfMinLaufimFreienGerundet[[#This Row],[Rundung]],INDIRECT(AO23),AO$18))),IF(AO$18=-1,LARGE(INDIRECT(AO23),1),SMALL(INDIRECT(AO23),1)),INDEX(INDIRECT(AO23),MATCH(ZwölfMinLaufimFreienGerundet[[#This Row],[Rundung]],INDIRECT(AO23),AO$18)))))</f>
        <v/>
      </c>
      <c r="AR23" s="18" t="str">
        <f ca="1">IF(ZwölfMinLaufimFreienSkalawert[[#This Row],[Skala-Wert]]="","",REPLACE(INDEX(StdDisziplinen[TabÜberschriftNote],AK$3),FIND("X",INDEX(StdDisziplinen[TabÜberschriftNote],AK$3),1),2,AN23))</f>
        <v/>
      </c>
      <c r="AS23" s="31" t="str">
        <f ca="1">IF(OR(AR23="",ZwölfMinLaufimFreienSkalawert[[#This Row],[Skala-Wert]]=Stammdaten!$AX$19),"",INDEX(INDIRECT(AR23),MATCH(ZwölfMinLaufimFreienSkalawert[[#This Row],[Skala-Wert]],INDIRECT(AO23),0)))</f>
        <v/>
      </c>
      <c r="AT23" s="31"/>
      <c r="AU23" s="597"/>
      <c r="AV23" s="190"/>
      <c r="AW23" s="587">
        <f>IF(AW$16,IF(AX$16=0.5,MROUND(HochsprungResultat[[#This Row],[Resultat]],AX$16),ROUND(HochsprungResultat[[#This Row],[Resultat]],AX$16)),ROUNDDOWN(HochsprungResultat[[#This Row],[Resultat]],AX$16))</f>
        <v>0</v>
      </c>
      <c r="AX23" s="191" t="str">
        <f>IF(OR(Geschlecht[[#This Row],[Geschlecht (Skala)]]="",AU$16=""),"",MID(Geschlecht[[#This Row],[Geschlecht (Skala)]],1,1)&amp;MID(AU$16,1,1))</f>
        <v/>
      </c>
      <c r="AY23" s="190" t="str">
        <f>IF(OR(AX23="",HochsprungResultat[[#This Row],[Resultat]]=""),"",REPLACE(INDEX(StdDisziplinen[TabÜberschriftResultat],AU$3),FIND("X",INDEX(StdDisziplinen[TabÜberschriftResultat],AU$3),1),2,AX23))</f>
        <v/>
      </c>
      <c r="AZ23" s="192" t="str">
        <f ca="1">IF(AY23="","",IF(OR(HochsprungResultat[[#This Row],[Resultat]]=Stammdaten!$AX$22,HochsprungResultat[[#This Row],[Resultat]]=Stammdaten!$AX$19),Stammdaten!$AX$19,IF(ISNA(INDEX(INDIRECT(AY23),MATCH(HochsprungGerundet[[#This Row],[Rundung]],INDIRECT(AY23),AY$18))),IF(AY$18=-1,LARGE(INDIRECT(AY23),1),SMALL(INDIRECT(AY23),1)),INDEX(INDIRECT(AY23),MATCH(HochsprungGerundet[[#This Row],[Rundung]],INDIRECT(AY23),AY$18)))))</f>
        <v/>
      </c>
      <c r="BB23" s="18" t="str">
        <f ca="1">IF(HochsprungSkalawert[[#This Row],[Skala-Wert]]="","",REPLACE(INDEX(StdDisziplinen[TabÜberschriftNote],AU$3),FIND("X",INDEX(StdDisziplinen[TabÜberschriftNote],AU$3),1),2,AX23))</f>
        <v/>
      </c>
      <c r="BC23" s="31" t="str">
        <f ca="1">IF(OR(BB23="",HochsprungSkalawert[[#This Row],[Skala-Wert]]=Stammdaten!$AX$19),"",INDEX(INDIRECT(BB23),MATCH(HochsprungSkalawert[[#This Row],[Skala-Wert]],INDIRECT(AY23),0)))</f>
        <v/>
      </c>
      <c r="BD23" s="31"/>
      <c r="BE23" s="597"/>
      <c r="BF23" s="190"/>
      <c r="BG23" s="587">
        <f>IF(BG$16,IF(BH$16=0.5,MROUND(WeitsprungResultat[[#This Row],[Resultat]],BH$16),ROUND(WeitsprungResultat[[#This Row],[Resultat]],BH$16)),ROUNDDOWN(WeitsprungResultat[[#This Row],[Resultat]],BH$16))</f>
        <v>0</v>
      </c>
      <c r="BH23" s="191" t="str">
        <f>IF(OR(Geschlecht[[#This Row],[Geschlecht (Skala)]]="",BE$16=""),"",MID(Geschlecht[[#This Row],[Geschlecht (Skala)]],1,1)&amp;MID(BE$16,1,1))</f>
        <v/>
      </c>
      <c r="BI23" s="190" t="str">
        <f>IF(OR(BH23="",WeitsprungResultat[[#This Row],[Resultat]]=""),"",REPLACE(INDEX(StdDisziplinen[TabÜberschriftResultat],BE$3),FIND("X",INDEX(StdDisziplinen[TabÜberschriftResultat],BE$3),1),2,BH23))</f>
        <v/>
      </c>
      <c r="BJ23" s="192" t="str">
        <f ca="1">IF(BI23="","",IF(OR(WeitsprungResultat[[#This Row],[Resultat]]=Stammdaten!$AX$22,WeitsprungResultat[[#This Row],[Resultat]]=Stammdaten!$AX$19),Stammdaten!$AX$19,IF(ISNA(INDEX(INDIRECT(BI23),MATCH(WeitsprungGerundet[[#This Row],[Rundung]],INDIRECT(BI23),BI$18))),IF(BI$18=-1,LARGE(INDIRECT(BI23),1),SMALL(INDIRECT(BI23),1)),INDEX(INDIRECT(BI23),MATCH(WeitsprungGerundet[[#This Row],[Rundung]],INDIRECT(BI23),BI$18)))))</f>
        <v/>
      </c>
      <c r="BL23" s="18" t="str">
        <f ca="1">IF(WeitsprungSkalawert[[#This Row],[Skala-Wert]]="","",REPLACE(INDEX(StdDisziplinen[TabÜberschriftNote],BE$3),FIND("X",INDEX(StdDisziplinen[TabÜberschriftNote],BE$3),1),2,BH23))</f>
        <v/>
      </c>
      <c r="BM23" s="31" t="str">
        <f ca="1">IF(OR(BL23="",WeitsprungSkalawert[[#This Row],[Skala-Wert]]=Stammdaten!$AX$19),"",INDEX(INDIRECT(BL23),MATCH(WeitsprungSkalawert[[#This Row],[Skala-Wert]],INDIRECT(BI23),0)))</f>
        <v/>
      </c>
      <c r="BN23" s="31"/>
      <c r="BO23" s="37"/>
      <c r="BP23" s="190"/>
      <c r="BQ23" s="154">
        <f>IF(BQ$16,IF(BR$16=0.5,MROUND(BallwurfResultat[[#This Row],[Resultat]],BR$16),ROUND(BallwurfResultat[[#This Row],[Resultat]],BR$16)),ROUNDDOWN(BallwurfResultat[[#This Row],[Resultat]],BR$16))</f>
        <v>0</v>
      </c>
      <c r="BR23" s="191" t="str">
        <f>IF(OR(Geschlecht[[#This Row],[Geschlecht (Skala)]]="",BO$16=""),"",MID(Geschlecht[[#This Row],[Geschlecht (Skala)]],1,1)&amp;MID(BO$16,1,1))</f>
        <v/>
      </c>
      <c r="BS23" s="190" t="str">
        <f>IF(OR(BR23="",BallwurfResultat[[#This Row],[Resultat]]=""),"",REPLACE(INDEX(StdDisziplinen[TabÜberschriftResultat],BO$3),FIND("X",INDEX(StdDisziplinen[TabÜberschriftResultat],BO$3),1),2,BR23))</f>
        <v/>
      </c>
      <c r="BT23" s="45" t="str">
        <f ca="1">IF(BS23="","",IF(OR(BallwurfResultat[[#This Row],[Resultat]]=Stammdaten!$AX$22,BallwurfResultat[[#This Row],[Resultat]]=Stammdaten!$AX$19),Stammdaten!$AX$19,IF(ISNA(INDEX(INDIRECT(BS23),MATCH(BallwurfGerundet[[#This Row],[Rundung]],INDIRECT(BS23),BS$18))),IF(BS$18=-1,LARGE(INDIRECT(BS23),1),SMALL(INDIRECT(BS23),1)),INDEX(INDIRECT(BS23),MATCH(BallwurfGerundet[[#This Row],[Rundung]],INDIRECT(BS23),BS$18)))))</f>
        <v/>
      </c>
      <c r="BV23" s="18" t="str">
        <f ca="1">IF(BallwurfSkalawert[[#This Row],[Skala-Wert]]="","",REPLACE(INDEX(StdDisziplinen[TabÜberschriftNote],BO$3),FIND("X",INDEX(StdDisziplinen[TabÜberschriftNote],BO$3),1),2,BR23))</f>
        <v/>
      </c>
      <c r="BW23" s="31" t="str">
        <f ca="1">IF(OR(BV23="",BallwurfSkalawert[[#This Row],[Skala-Wert]]=Stammdaten!$AX$19),"",INDEX(INDIRECT(BV23),MATCH(BallwurfSkalawert[[#This Row],[Skala-Wert]],INDIRECT(BS23),0)))</f>
        <v/>
      </c>
      <c r="BX23" s="31"/>
      <c r="BY23" s="598"/>
      <c r="BZ23" s="190"/>
      <c r="CA23" s="154">
        <f>IF(CA$16,IF(CB$16=0.5,MROUND(KugelstossenResultat[[#This Row],[Resultat]],CB$16),ROUND(KugelstossenResultat[[#This Row],[Resultat]],CB$16)),ROUNDDOWN(KugelstossenResultat[[#This Row],[Resultat]],CB$16))</f>
        <v>0</v>
      </c>
      <c r="CB23" s="191" t="str">
        <f>IF(OR(Geschlecht[[#This Row],[Geschlecht (Skala)]]="",BY$16=""),"",MID(Geschlecht[[#This Row],[Geschlecht (Skala)]],1,1)&amp;MID(BY$16,1,1))</f>
        <v/>
      </c>
      <c r="CC23" s="190" t="str">
        <f>IF(OR(CB23="",KugelstossenResultat[[#This Row],[Resultat]]=""),"",REPLACE(INDEX(StdDisziplinen[TabÜberschriftResultat],BY$3),FIND("X",INDEX(StdDisziplinen[TabÜberschriftResultat],BY$3),1),2,CB23))</f>
        <v/>
      </c>
      <c r="CD23" s="45" t="str">
        <f ca="1">IF(CC23="","",IF(OR(KugelstossenResultat[[#This Row],[Resultat]]=Stammdaten!$AX$22,KugelstossenResultat[[#This Row],[Resultat]]=Stammdaten!$AX$19),Stammdaten!$AX$19,IF(ISNA(INDEX(INDIRECT(CC23),MATCH(KugelstossenGerundet[[#This Row],[Rundung]],INDIRECT(CC23),CC$18))),IF(CC$18=-1,LARGE(INDIRECT(CC23),1),SMALL(INDIRECT(CC23),1)),INDEX(INDIRECT(CC23),MATCH(KugelstossenGerundet[[#This Row],[Rundung]],INDIRECT(CC23),CC$18)))))</f>
        <v/>
      </c>
      <c r="CF23" s="18" t="str">
        <f ca="1">IF(KugelstossenSkalawert[[#This Row],[Skala-Wert]]="","",REPLACE(INDEX(StdDisziplinen[TabÜberschriftNote],BY$3),FIND("X",INDEX(StdDisziplinen[TabÜberschriftNote],BY$3),1),2,CB23))</f>
        <v/>
      </c>
      <c r="CG23" s="31" t="str">
        <f ca="1">IF(OR(CF23="",KugelstossenSkalawert[[#This Row],[Skala-Wert]]=Stammdaten!$AX$19),"",INDEX(INDIRECT(CF23),MATCH(KugelstossenSkalawert[[#This Row],[Skala-Wert]],INDIRECT(CC23),0)))</f>
        <v/>
      </c>
      <c r="CH23" s="31"/>
      <c r="CI23" s="37"/>
      <c r="CJ23" s="190"/>
      <c r="CK23" s="154">
        <f>IF(CK$16,IF(CL$16=0.5,MROUND(SpeerwurfResultat[[#This Row],[Resultat]],CL$16),ROUND(SpeerwurfResultat[[#This Row],[Resultat]],CL$16)),ROUNDDOWN(SpeerwurfResultat[[#This Row],[Resultat]],CL$16))</f>
        <v>0</v>
      </c>
      <c r="CL23" s="191" t="str">
        <f>IF(OR(Geschlecht[[#This Row],[Geschlecht (Skala)]]="",CI$16=""),"",MID(Geschlecht[[#This Row],[Geschlecht (Skala)]],1,1)&amp;MID(CI$16,1,1))</f>
        <v/>
      </c>
      <c r="CM23" s="190" t="str">
        <f>IF(OR(CL23="",SpeerwurfResultat[[#This Row],[Resultat]]=""),"",REPLACE(INDEX(StdDisziplinen[TabÜberschriftResultat],CI$3),FIND("X",INDEX(StdDisziplinen[TabÜberschriftResultat],CI$3),1),2,CL23))</f>
        <v/>
      </c>
      <c r="CN23" s="45" t="str">
        <f ca="1">IF(CM23="","",IF(OR(SpeerwurfResultat[[#This Row],[Resultat]]=Stammdaten!$AX$22,SpeerwurfResultat[[#This Row],[Resultat]]=Stammdaten!$AX$19),Stammdaten!$AX$19,IF(ISNA(INDEX(INDIRECT(CM23),MATCH(SpeerwurfGerundet[[#This Row],[Rundung]],INDIRECT(CM23),CM$18))),IF(CM$18=-1,LARGE(INDIRECT(CM23),1),SMALL(INDIRECT(CM23),1)),INDEX(INDIRECT(CM23),MATCH(SpeerwurfGerundet[[#This Row],[Rundung]],INDIRECT(CM23),CM$18)))))</f>
        <v/>
      </c>
      <c r="CP23" s="18" t="str">
        <f ca="1">IF(SpeerwurfSkalawert[[#This Row],[Skala-Wert]]="","",REPLACE(INDEX(StdDisziplinen[TabÜberschriftNote],CI$3),FIND("X",INDEX(StdDisziplinen[TabÜberschriftNote],CI$3),1),2,CL23))</f>
        <v/>
      </c>
      <c r="CQ23" s="31" t="str">
        <f ca="1">IF(OR(CP23="",SpeerwurfSkalawert[[#This Row],[Skala-Wert]]=Stammdaten!$AX$19),"",INDEX(INDIRECT(CP23),MATCH(SpeerwurfSkalawert[[#This Row],[Skala-Wert]],INDIRECT(CM23),0)))</f>
        <v/>
      </c>
      <c r="CR23" s="31"/>
      <c r="CS23" s="31" t="str">
        <f t="shared" ca="1" si="50"/>
        <v/>
      </c>
      <c r="CT23" s="31" t="str">
        <f t="shared" ca="1" si="50"/>
        <v/>
      </c>
      <c r="CU23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Row],[Skala-Wert]])&gt;0,MAX(CS23:CT23),99))</f>
        <v>Keine Note</v>
      </c>
      <c r="CV23" s="202" t="str">
        <f t="shared" ca="1" si="51"/>
        <v/>
      </c>
      <c r="CW23" s="202" t="str">
        <f ca="1">IF(CV23=$A$2,CS$10&amp;Stammdaten!$AX$25,IF(CU23=INDEX(StdFehler[],3),CS$10&amp;Stammdaten!$AX$27,INDEX(INDIRECT($B$4),MATCH(CV23,INDIRECT($B$5),0))))</f>
        <v>Sprintdisziplinen nicht durchgeführt</v>
      </c>
      <c r="CX23" s="202" t="str">
        <f ca="1">IFERROR(INDEX(INDIRECT(CX$12),MATCH(CV23,StdDisziplinen[ID],0)),"")</f>
        <v/>
      </c>
      <c r="CY23" s="202" t="e">
        <f t="shared" ca="1" si="52"/>
        <v>#N/A</v>
      </c>
      <c r="CZ23" s="202" t="e">
        <f t="shared" ca="1" si="53"/>
        <v>#N/A</v>
      </c>
      <c r="DA23" s="98" t="str">
        <f t="shared" ca="1" si="223"/>
        <v/>
      </c>
      <c r="DB23" s="202" t="e">
        <f t="shared" ca="1" si="54"/>
        <v>#N/A</v>
      </c>
      <c r="DC23" s="202" t="str">
        <f t="shared" ca="1" si="55"/>
        <v/>
      </c>
      <c r="DD23" s="31" t="str">
        <f t="shared" ca="1" si="56"/>
        <v/>
      </c>
      <c r="DE23" s="31" t="str">
        <f t="shared" ca="1" si="56"/>
        <v/>
      </c>
      <c r="DF23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Row],[Skala-Wert]])&gt;0,MAX(DD23:DE23),99))</f>
        <v>Keine Note</v>
      </c>
      <c r="DG23" s="202" t="str">
        <f t="shared" ca="1" si="57"/>
        <v/>
      </c>
      <c r="DH23" s="202" t="str">
        <f ca="1">IF(DG23=$A$2,DD$10&amp;Stammdaten!$AX$25,IF(DF23=INDEX(StdFehler[],3),DD$10&amp;Stammdaten!$AX$27,INDEX(INDIRECT($B$4),MATCH(DG23,INDIRECT($B$5),0))))</f>
        <v>Ausdauerdisziplinen nicht durchgeführt</v>
      </c>
      <c r="DI23" s="202" t="str">
        <f ca="1">IFERROR(INDEX(INDIRECT(DI$12),MATCH(DG23,StdDisziplinen[ID],0)),"")</f>
        <v/>
      </c>
      <c r="DJ23" s="202" t="e">
        <f t="shared" ca="1" si="58"/>
        <v>#N/A</v>
      </c>
      <c r="DK23" s="202" t="e">
        <f t="shared" ca="1" si="59"/>
        <v>#N/A</v>
      </c>
      <c r="DL23" s="96" t="str">
        <f t="shared" ca="1" si="60"/>
        <v/>
      </c>
      <c r="DM23" s="202" t="e">
        <f t="shared" ca="1" si="61"/>
        <v>#N/A</v>
      </c>
      <c r="DN23" s="202" t="str">
        <f t="shared" ca="1" si="62"/>
        <v/>
      </c>
      <c r="DO23" s="31" t="str">
        <f t="shared" ca="1" si="63"/>
        <v/>
      </c>
      <c r="DP23" s="31" t="str">
        <f t="shared" ca="1" si="63"/>
        <v/>
      </c>
      <c r="DQ23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Row],[Skala-Wert]])&gt;0,MAX(DO23:DP23),99))</f>
        <v>Keine Note</v>
      </c>
      <c r="DR23" s="202" t="str">
        <f t="shared" ca="1" si="64"/>
        <v/>
      </c>
      <c r="DS23" s="202" t="str">
        <f ca="1">IF(DR23=$A$2,DO$10&amp;Stammdaten!$AX$25,IF(DQ23=INDEX(StdFehler[],3),DO$10&amp;Stammdaten!$AX$27,INDEX(INDIRECT($B$4),MATCH(DR23,INDIRECT($B$5),0))))</f>
        <v>Sprungdisziplinen nicht durchgeführt</v>
      </c>
      <c r="DT23" s="202" t="str">
        <f ca="1">IFERROR(INDEX(INDIRECT(DT$12),MATCH(DR23,StdDisziplinen[ID],0)),"")</f>
        <v/>
      </c>
      <c r="DU23" s="202" t="e">
        <f t="shared" ca="1" si="65"/>
        <v>#N/A</v>
      </c>
      <c r="DV23" s="202" t="e">
        <f t="shared" ca="1" si="66"/>
        <v>#N/A</v>
      </c>
      <c r="DW23" s="202" t="str">
        <f t="shared" ca="1" si="67"/>
        <v/>
      </c>
      <c r="DX23" s="202" t="e">
        <f t="shared" ca="1" si="68"/>
        <v>#N/A</v>
      </c>
      <c r="DY23" s="202" t="str">
        <f t="shared" ca="1" si="69"/>
        <v/>
      </c>
      <c r="DZ23" s="31" t="str">
        <f ca="1">IF(BallwurfSkalawert[[#This Row],[Skala-Wert]]=$A$3,$A$2,IF(ISNUMBER(BallwurfSkalawert[[#This Row],[Skala-Wert]]),BallwurfNote[[#This Row],[Note]],"!"))</f>
        <v>!</v>
      </c>
      <c r="EA23" s="31" t="str">
        <f ca="1">IF(KugelstossenSkalawert[[#This Row],[Skala-Wert]]=$A$3,$A$2,IF(ISNUMBER(KugelstossenSkalawert[[#This Row],[Skala-Wert]]),KugelstossenNote[[#This Row],[Note]],"!"))</f>
        <v>!</v>
      </c>
      <c r="EB23" s="31" t="str">
        <f ca="1">IF(SpeerwurfSkalawert[[#This Row],[Skala-Wert]]=$A$3,$A$2,IF(ISNUMBER(SpeerwurfSkalawert[[#This Row],[Skala-Wert]]),SpeerwurfNote[[#This Row],[Note]],"!"))</f>
        <v>!</v>
      </c>
      <c r="EC23" s="95" t="str">
        <f ca="1">IF(ED23&gt;0,MAX(DZ23:EB23),IF(EE23&gt;0,99,INDEX(StdFehler[StdFehler],3)))</f>
        <v>Keine Note</v>
      </c>
      <c r="ED23" s="202">
        <f t="shared" ca="1" si="70"/>
        <v>0</v>
      </c>
      <c r="EE23" s="202">
        <f t="shared" ca="1" si="71"/>
        <v>0</v>
      </c>
      <c r="EF23" s="202" t="str">
        <f t="shared" ca="1" si="72"/>
        <v/>
      </c>
      <c r="EG23" s="202" t="str">
        <f ca="1">IF(EF23=$A$2,DZ$10&amp;Stammdaten!$AX$25,IF(EC23=INDEX(StdFehler[],3),DZ$10&amp;Stammdaten!$AX$27,INDEX(INDIRECT($B$4),MATCH(EF23,INDIRECT($B$5),0))))</f>
        <v>Wurfdisziplinen nicht durchgeführt</v>
      </c>
      <c r="EH23" s="202" t="str">
        <f ca="1">IFERROR(INDEX(INDIRECT(EH$12),MATCH(EF23,StdDisziplinen[ID],0)),"")</f>
        <v/>
      </c>
      <c r="EI23" s="202" t="e">
        <f t="shared" ca="1" si="73"/>
        <v>#N/A</v>
      </c>
      <c r="EJ23" s="202" t="e">
        <f t="shared" ca="1" si="74"/>
        <v>#N/A</v>
      </c>
      <c r="EK23" s="98" t="str">
        <f t="shared" ca="1" si="75"/>
        <v/>
      </c>
      <c r="EL23" s="202" t="e">
        <f t="shared" ca="1" si="76"/>
        <v>#N/A</v>
      </c>
      <c r="EM23" s="202" t="str">
        <f t="shared" ca="1" si="77"/>
        <v/>
      </c>
      <c r="EN23" s="200">
        <f t="shared" ca="1" si="1"/>
        <v>0</v>
      </c>
      <c r="EO23" s="202">
        <f t="shared" ca="1" si="78"/>
        <v>0</v>
      </c>
      <c r="EP23" s="96">
        <f t="shared" ca="1" si="2"/>
        <v>0</v>
      </c>
      <c r="EQ23" s="96">
        <f t="shared" ca="1" si="3"/>
        <v>0</v>
      </c>
      <c r="ER23" s="96">
        <f t="shared" ca="1" si="4"/>
        <v>0</v>
      </c>
      <c r="ES23" s="96">
        <f t="shared" ca="1" si="5"/>
        <v>0</v>
      </c>
      <c r="ET23" s="202">
        <f t="shared" ca="1" si="79"/>
        <v>0</v>
      </c>
      <c r="EU23" s="202" t="str">
        <f ca="1">IF($EO23=$FA$4,Stammdaten!$AX$19,IF(COUNTIF($EP23:$ES23,0)&lt;&gt;0,INDEX(StdFehler[StdFehler],4),ROUND(SUM($ET23/$EN23)/$FC$4,0)*$FC$4))</f>
        <v>Zu wenige Noten</v>
      </c>
      <c r="EV23" s="202" t="str">
        <f t="shared" ca="1" si="6"/>
        <v>Zu wenige Noten</v>
      </c>
      <c r="EW23" s="202" t="str">
        <f t="shared" ca="1" si="80"/>
        <v>Zu wenige Noten</v>
      </c>
      <c r="EX23" s="202" t="str">
        <f t="shared" ca="1" si="80"/>
        <v>Zu wenige Noten</v>
      </c>
      <c r="EY23" s="202" t="str">
        <f t="shared" ca="1" si="80"/>
        <v>Zu wenige Noten</v>
      </c>
      <c r="EZ23" s="202" t="str">
        <f t="shared" ca="1" si="81"/>
        <v>Zu wenige Noten</v>
      </c>
      <c r="FA23" s="202" t="str">
        <f t="shared" ca="1" si="82"/>
        <v>Zu wenige Noten</v>
      </c>
      <c r="FB23" s="31"/>
      <c r="FC23" s="56" t="str">
        <f t="shared" ca="1" si="83"/>
        <v>Zu wenige Noten</v>
      </c>
      <c r="FD23" s="31"/>
      <c r="FE23" s="597"/>
      <c r="FF23" s="190"/>
      <c r="FJ23" s="31"/>
      <c r="FK23" s="597"/>
      <c r="FL23" s="190"/>
      <c r="FP23" s="31"/>
      <c r="FQ23" s="597"/>
      <c r="FR23" s="190"/>
      <c r="FV23" s="31"/>
      <c r="FW23" s="597"/>
      <c r="FX23" s="190"/>
      <c r="GB23" s="31"/>
      <c r="GC23" s="597"/>
      <c r="GD23" s="190"/>
      <c r="GF23" s="154"/>
      <c r="GH23" s="31"/>
      <c r="GI23" s="597"/>
      <c r="GJ23" s="190"/>
      <c r="GN23" s="45"/>
      <c r="GO23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3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3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3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3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3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3" s="202">
        <f t="shared" si="7"/>
        <v>0</v>
      </c>
      <c r="GV23" s="202">
        <f t="shared" si="8"/>
        <v>0</v>
      </c>
      <c r="GW23" s="202">
        <f t="shared" si="84"/>
        <v>0</v>
      </c>
      <c r="GX23" s="200" t="str">
        <f t="shared" si="85"/>
        <v>!</v>
      </c>
      <c r="GY23" s="200" t="str">
        <f t="shared" si="9"/>
        <v>!</v>
      </c>
      <c r="GZ23" s="200" t="str">
        <f t="shared" si="10"/>
        <v>!</v>
      </c>
      <c r="HA23" s="244" t="str">
        <f t="shared" si="86"/>
        <v>nd</v>
      </c>
      <c r="HB23" s="244" t="str">
        <f t="shared" si="87"/>
        <v>nd</v>
      </c>
      <c r="HC23" s="244" t="str">
        <f t="shared" si="88"/>
        <v>nd</v>
      </c>
      <c r="HD23" s="244" t="str">
        <f t="shared" si="89"/>
        <v>nd</v>
      </c>
      <c r="HE23" s="244" t="str">
        <f t="shared" si="90"/>
        <v>nd</v>
      </c>
      <c r="HF23" s="244" t="str">
        <f t="shared" si="91"/>
        <v>nd</v>
      </c>
      <c r="HG23" s="202" t="b">
        <f t="shared" si="92"/>
        <v>0</v>
      </c>
      <c r="HH23" s="202">
        <f t="shared" si="93"/>
        <v>1</v>
      </c>
      <c r="HI23" s="202">
        <f t="shared" si="94"/>
        <v>0</v>
      </c>
      <c r="HJ23" s="200" t="str">
        <f t="shared" si="95"/>
        <v/>
      </c>
      <c r="HK23" s="200" t="str">
        <f t="shared" si="96"/>
        <v/>
      </c>
      <c r="HL23" s="200">
        <f t="shared" si="97"/>
        <v>0</v>
      </c>
      <c r="HM23" s="202" t="str">
        <f t="shared" si="98"/>
        <v/>
      </c>
      <c r="HN23" s="200" t="str">
        <f t="shared" si="99"/>
        <v/>
      </c>
      <c r="HO23" s="200" t="str">
        <f t="shared" si="100"/>
        <v/>
      </c>
      <c r="HP23" s="200" t="str">
        <f t="shared" si="101"/>
        <v/>
      </c>
      <c r="HQ23" s="242" t="str">
        <f t="shared" si="102"/>
        <v/>
      </c>
      <c r="HR23" s="242" t="str">
        <f t="shared" si="103"/>
        <v/>
      </c>
      <c r="HS23" s="242" t="str">
        <f t="shared" si="104"/>
        <v/>
      </c>
      <c r="HT23" s="242" t="str">
        <f t="shared" ca="1" si="105"/>
        <v>Erstes Gerät</v>
      </c>
      <c r="HU23" s="242" t="str">
        <f ca="1">IF(HT23=$HS$12,Stammdaten!$AY$27,IF(HW23=$A$2,TRIM(Stammdaten!$AX$25),""))</f>
        <v>nicht durchgeführt</v>
      </c>
      <c r="HV23" s="242" t="str">
        <f t="shared" ca="1" si="106"/>
        <v/>
      </c>
      <c r="HW23" s="277" t="str">
        <f t="shared" si="11"/>
        <v/>
      </c>
      <c r="HX23" s="202" t="str">
        <f t="shared" si="107"/>
        <v/>
      </c>
      <c r="HY23" s="202" t="str">
        <f t="shared" ca="1" si="108"/>
        <v/>
      </c>
      <c r="HZ23" s="202" t="str">
        <f t="shared" ca="1" si="109"/>
        <v>StdDisziplinen[MaxTextSt]</v>
      </c>
      <c r="IA23" s="202" t="str">
        <f t="shared" ca="1" si="12"/>
        <v/>
      </c>
      <c r="IB23" s="202" t="b">
        <f t="shared" si="110"/>
        <v>0</v>
      </c>
      <c r="IC23" s="202" t="str">
        <f t="shared" si="111"/>
        <v/>
      </c>
      <c r="ID23" s="202" t="str">
        <f t="shared" si="112"/>
        <v/>
      </c>
      <c r="IE23" s="202" t="str">
        <f t="shared" si="113"/>
        <v/>
      </c>
      <c r="IF23" s="202" t="str">
        <f t="shared" si="114"/>
        <v/>
      </c>
      <c r="IG23" s="242" t="str">
        <f t="shared" si="115"/>
        <v/>
      </c>
      <c r="IH23" s="242" t="str">
        <f t="shared" si="116"/>
        <v/>
      </c>
      <c r="II23" s="242" t="str">
        <f t="shared" ca="1" si="13"/>
        <v>Zweites Gerät</v>
      </c>
      <c r="IJ23" s="242" t="str">
        <f ca="1">IF(II23=$IH$12,Stammdaten!$AY$27,IF(IL23=$A$2,TRIM(Stammdaten!$AX$25),""))</f>
        <v>nicht durchgeführt</v>
      </c>
      <c r="IK23" s="242" t="str">
        <f t="shared" ca="1" si="117"/>
        <v/>
      </c>
      <c r="IL23" s="200" t="str">
        <f t="shared" si="14"/>
        <v/>
      </c>
      <c r="IM23" s="202" t="str">
        <f t="shared" si="118"/>
        <v/>
      </c>
      <c r="IN23" s="202" t="str">
        <f t="shared" ca="1" si="119"/>
        <v/>
      </c>
      <c r="IO23" s="202" t="str">
        <f t="shared" ca="1" si="120"/>
        <v>StdDisziplinen[MaxTextSt]</v>
      </c>
      <c r="IP23" s="202" t="str">
        <f t="shared" ca="1" si="121"/>
        <v/>
      </c>
      <c r="IQ23" s="202" t="b">
        <f t="shared" si="122"/>
        <v>0</v>
      </c>
      <c r="IR23" s="242" t="str">
        <f t="shared" ca="1" si="15"/>
        <v>Drittes Gerät</v>
      </c>
      <c r="IS23" s="242" t="str">
        <f ca="1">IF(IR23=$IR$12,MID(Stammdaten!$AX$27,2,LEN(Stammdaten!$AX$27)),IF(IU23=$A$2,TRIM(Stammdaten!$AX$25),""))</f>
        <v>nicht durchgeführt</v>
      </c>
      <c r="IT23" s="242" t="str">
        <f t="shared" ca="1" si="16"/>
        <v/>
      </c>
      <c r="IU23" s="200" t="str">
        <f t="shared" si="17"/>
        <v/>
      </c>
      <c r="IV23" s="202" t="str">
        <f t="shared" si="123"/>
        <v/>
      </c>
      <c r="IW23" s="202" t="str">
        <f t="shared" ca="1" si="124"/>
        <v/>
      </c>
      <c r="IX23" s="202" t="str">
        <f t="shared" ca="1" si="125"/>
        <v>StdDisziplinen[MaxTextSt]</v>
      </c>
      <c r="IY23" s="202" t="str">
        <f t="shared" ca="1" si="18"/>
        <v/>
      </c>
      <c r="IZ23" s="200" t="str">
        <f>IF(NOT(GW23),INDEX(StdFehler[StdFehler],4),IF(COUNTIF(GX23:GZ23,$A$2)&gt;=$IZ$4,$A$3,SUM(GX23:GZ23)))</f>
        <v>Zu wenige Noten</v>
      </c>
      <c r="JA23" s="31"/>
      <c r="JB23" s="587" t="e">
        <f t="shared" si="19"/>
        <v>#VALUE!</v>
      </c>
      <c r="JC23" s="191" t="str">
        <f>IF(OR(Geschlecht[[#This Row],[Geschlecht (Skala)]]="",IZ23=""),"",MID(Geschlecht[[#This Row],[Geschlecht (Skala)]],1,1)&amp;MID($FE$16,1,1))</f>
        <v/>
      </c>
      <c r="JD23" s="190" t="str">
        <f>IF(OR(JC23="",IZ23=""),"",REPLACE(INDEX(StdDisziplinen[TabÜberschriftResultat],$FE$3),FIND("X",INDEX(StdDisziplinen[TabÜberschriftResultat],$FE$3),1),2,JC23))</f>
        <v/>
      </c>
      <c r="JE23" s="192" t="str">
        <f ca="1">IF(OR(JD23="",IZ23=Stammdaten!$AZ$5),"",IF(OR(IZ23=Stammdaten!$AX$22,IZ23=Stammdaten!$AX$19),Stammdaten!$AX$19,IF(ISNA(INDEX(INDIRECT(JD23),MATCH(GeräteturnenGerundet[[#This Row],[Rundung]],INDIRECT(JD23),$JD$16))),IF($JD$16=-1,LARGE(INDIRECT(JD23),1),SMALL(INDIRECT(JD23),1)),INDEX(INDIRECT(JD23),MATCH(GeräteturnenGerundet[[#This Row],[Rundung]],INDIRECT(JD23),$JD$16)))))</f>
        <v/>
      </c>
      <c r="JG23" s="18" t="str">
        <f ca="1">IF(GeräteturnenSkalawert[[#This Row],[Skala-Wert]]="","",REPLACE(INDEX(StdDisziplinen[TabÜberschriftNote],$FE$3),FIND("X",INDEX(StdDisziplinen[TabÜberschriftNote],$FE$3),1),2,JC23))</f>
        <v/>
      </c>
      <c r="JH23" s="45" t="str">
        <f ca="1">IF(OR(JG23="",GeräteturnenSkalawert[[#This Row],[Skala-Wert]]=Stammdaten!$AX$19),"",INDEX(INDIRECT(JG23),MATCH(GeräteturnenSkalawert[[#This Row],[Skala-Wert]],INDIRECT(JD23),0)))</f>
        <v/>
      </c>
      <c r="JI23" s="31"/>
      <c r="JJ23" s="597"/>
      <c r="JK23" s="190"/>
      <c r="JL23" s="587">
        <f>IF(JL$16,IF(JM$16=0.5,MROUND(ParkourResultat[[#This Row],[Resultat]],JM$16),ROUND(ParkourResultat[[#This Row],[Resultat]],JM$16)),ROUNDDOWN(ParkourResultat[[#This Row],[Resultat]],JM$16))</f>
        <v>0</v>
      </c>
      <c r="JM23" s="191" t="str">
        <f>IF(OR(Geschlecht[[#This Row],[Geschlecht (Skala)]]="",JJ$16=""),"",MID(Geschlecht[[#This Row],[Geschlecht (Skala)]],1,1)&amp;MID(JJ$16,1,1))</f>
        <v/>
      </c>
      <c r="JN23" s="190" t="str">
        <f>IF(OR(JM23="",ParkourResultat[[#This Row],[Resultat]]=""),"",REPLACE(INDEX(StdDisziplinen[TabÜberschriftResultat],JJ$3),FIND("X",INDEX(StdDisziplinen[TabÜberschriftResultat],JJ$3),1),2,JM23))</f>
        <v/>
      </c>
      <c r="JO23" s="192" t="str">
        <f ca="1">IF(JN23="","",IF(OR(ParkourResultat[[#This Row],[Resultat]]=Stammdaten!$AX$22,ParkourResultat[[#This Row],[Resultat]]=Stammdaten!$AX$19),Stammdaten!$AX$19,IF(ISNA(INDEX(INDIRECT(JN23),MATCH(ParkourGerundet[[#This Row],[Rundung]],INDIRECT(JN23),JN$18))),IF(JN$18=-1,LARGE(INDIRECT(JN23),1),SMALL(INDIRECT(JN23),1)),INDEX(INDIRECT(JN23),MATCH(ParkourGerundet[[#This Row],[Rundung]],INDIRECT(JN23),JN$18)))))</f>
        <v/>
      </c>
      <c r="JQ23" s="18" t="str">
        <f ca="1">IF(ParkourSkalawert[[#This Row],[Skala-Wert]]="","",REPLACE(INDEX(StdDisziplinen[TabÜberschriftNote],JJ$3),FIND("X",INDEX(StdDisziplinen[TabÜberschriftNote],JJ$3),1),2,JM23))</f>
        <v/>
      </c>
      <c r="JR23" s="31" t="str">
        <f ca="1">IF(OR(JQ23="",ParkourSkalawert[[#This Row],[Skala-Wert]]=Stammdaten!$AX$19),"",INDEX(INDIRECT(JQ23),MATCH(ParkourSkalawert[[#This Row],[Skala-Wert]],INDIRECT(JN23),0)))</f>
        <v/>
      </c>
      <c r="JS23" s="96"/>
      <c r="JT23" s="47" t="str">
        <f ca="1">IF(OR(ISNUMBER(ParkourSkalawert[[#This Row],[Skala-Wert]]),ParkourSkalawert[[#This Row],[Skala-Wert]]=$A$3),INDEX(INDIRECT($JU$1),MATCH($JJ$3,INDIRECT($B$5),0)),"")</f>
        <v/>
      </c>
      <c r="JU23" s="200" t="str">
        <f t="shared" ca="1" si="126"/>
        <v>StdDisziplinen[MaxTextSt]</v>
      </c>
      <c r="JV23" s="200" t="str">
        <f t="shared" ca="1" si="127"/>
        <v/>
      </c>
      <c r="JW23" s="98">
        <f ca="1">IF(GeräteturnenSkalawert[[#This Row],[Skala-Wert]]=$A$3,$A$2,IF(GeräteturnenNote[[#This Row],[Note]]="",0,GeräteturnenNote[[#This Row],[Note]]))</f>
        <v>0</v>
      </c>
      <c r="JX23" s="96">
        <f ca="1">IF(ParkourSkalawert[[#This Row],[Skala-Wert]]=$A$3,$A$2,IF(ParkourNote[[#This Row],[Note]]="",0,ParkourNote[[#This Row],[Note]]))</f>
        <v>0</v>
      </c>
      <c r="JY23" s="200">
        <f t="shared" ca="1" si="128"/>
        <v>0</v>
      </c>
      <c r="JZ23" s="200">
        <f t="shared" ca="1" si="129"/>
        <v>0</v>
      </c>
      <c r="KA23" s="202">
        <f t="shared" ca="1" si="130"/>
        <v>0</v>
      </c>
      <c r="KB23" s="98" t="str">
        <f t="shared" ca="1" si="20"/>
        <v>!</v>
      </c>
      <c r="KC23" s="98" t="str">
        <f t="shared" ca="1" si="21"/>
        <v>!</v>
      </c>
      <c r="KD23" s="202" t="str">
        <f ca="1">IF(NOT(KA23),INDEX(StdFehler[StdFehler],4),IF(JZ23=$KA$12,$A$3,IF(JW23=$A$2,JX23,IF(JX23=$A$2,JW23,CONCATENATE(JW23,", ",JX23)))))</f>
        <v>Zu wenige Noten</v>
      </c>
      <c r="KE23" s="202" t="str">
        <f t="shared" ca="1" si="131"/>
        <v>Zu wenige Noten</v>
      </c>
      <c r="KF23" s="31"/>
      <c r="KG23" s="56" t="str">
        <f ca="1">IF(NOT(KA23),INDEX(StdFehler[StdFehler],4),IF(JZ23=$KA$12,$A$3,ROUND(AVERAGE(KB23:KC23)/$KG$4,0)*$KG$4))</f>
        <v>Zu wenige Noten</v>
      </c>
      <c r="KH23" s="31"/>
      <c r="KI23" s="599"/>
      <c r="KJ23" s="190"/>
      <c r="KK23" s="586">
        <f>IF(KK$16,IF(KL$16=0.5,MROUND(TanzenResultat[[#This Row],[Resultat]],KL$16),ROUND(TanzenResultat[[#This Row],[Resultat]],KL$16)),ROUNDDOWN(TanzenResultat[[#This Row],[Resultat]],KL$16))</f>
        <v>0</v>
      </c>
      <c r="KL23" s="191" t="str">
        <f>IF(OR(Geschlecht[[#This Row],[Geschlecht (Skala)]]="",KI$16=""),"",MID(Geschlecht[[#This Row],[Geschlecht (Skala)]],1,1)&amp;MID(KI$16,1,1))</f>
        <v/>
      </c>
      <c r="KM23" s="190" t="str">
        <f>IF(OR(KL23="",TanzenResultat[[#This Row],[Resultat]]=""),"",REPLACE(INDEX(StdDisziplinen[TabÜberschriftResultat],KI$3),FIND("X",INDEX(StdDisziplinen[TabÜberschriftResultat],KI$3),1),2,KL23))</f>
        <v/>
      </c>
      <c r="KN23" s="31" t="str">
        <f ca="1">IF(KM23="","",IF(OR(TanzenResultat[[#This Row],[Resultat]]=Stammdaten!$AX$22,TanzenResultat[[#This Row],[Resultat]]=Stammdaten!$AX$19),Stammdaten!$AX$19,IF(ISNA(INDEX(INDIRECT(KM23),MATCH(TanzenGerundet[[#This Row],[Rundung]],INDIRECT(KM23),KM$18))),IF(KM$18=-1,LARGE(INDIRECT(KM23),1),SMALL(INDIRECT(KM23),1)),INDEX(INDIRECT(KM23),MATCH(TanzenGerundet[[#This Row],[Rundung]],INDIRECT(KM23),KM$18)))))</f>
        <v/>
      </c>
      <c r="KP23" s="18" t="str">
        <f ca="1">IF(TanzenSkalawert[[#This Row],[Skala-Wert]]="","",REPLACE(INDEX(StdDisziplinen[TabÜberschriftNote],KI$3),FIND("X",INDEX(StdDisziplinen[TabÜberschriftNote],KI$3),1),2,KL23))</f>
        <v/>
      </c>
      <c r="KQ23" s="45" t="str">
        <f ca="1">IF(OR(KP23="",TanzenSkalawert[[#This Row],[Skala-Wert]]=Stammdaten!$AX$19),"",INDEX(INDIRECT(KP23),MATCH(TanzenSkalawert[[#This Row],[Skala-Wert]],INDIRECT(KM23),0)))</f>
        <v/>
      </c>
      <c r="KR23" s="31"/>
      <c r="KS23" s="597"/>
      <c r="KT23" s="190"/>
      <c r="KU23" s="587">
        <f>IF(KU$16,IF(KV$16=0.5,MROUND(RopeSkippingResultat[[#This Row],[Resultat]],KV$16),ROUND(RopeSkippingResultat[[#This Row],[Resultat]],KV$16)),ROUNDDOWN(RopeSkippingResultat[[#This Row],[Resultat]],KV$16))</f>
        <v>0</v>
      </c>
      <c r="KV23" s="191" t="str">
        <f>IF(OR(Geschlecht[[#This Row],[Geschlecht (Skala)]]="",KS$16=""),"",MID(Geschlecht[[#This Row],[Geschlecht (Skala)]],1,1)&amp;MID(KS$16,1,1))</f>
        <v/>
      </c>
      <c r="KW23" s="190" t="str">
        <f>IF(OR(KV23="",RopeSkippingResultat[[#This Row],[Resultat]]=""),"",REPLACE(INDEX(StdDisziplinen[TabÜberschriftResultat],KS$3),FIND("X",INDEX(StdDisziplinen[TabÜberschriftResultat],KS$3),1),2,KV23))</f>
        <v/>
      </c>
      <c r="KX23" s="192" t="str">
        <f ca="1">IF(KW23="","",IF(OR(RopeSkippingResultat[[#This Row],[Resultat]]=Stammdaten!$AX$22,RopeSkippingResultat[[#This Row],[Resultat]]=Stammdaten!$AX$19),Stammdaten!$AX$19,IF(ISNA(INDEX(INDIRECT(KW23),MATCH(RopeSkippingGerundet[[#This Row],[Rundung]],INDIRECT(KW23),KW$18))),IF(KW$18=-1,LARGE(INDIRECT(KW23),1),SMALL(INDIRECT(KW23),1)),INDEX(INDIRECT(KW23),MATCH(RopeSkippingGerundet[[#This Row],[Rundung]],INDIRECT(KW23),KW$18)))))</f>
        <v/>
      </c>
      <c r="KZ23" s="18" t="str">
        <f ca="1">IF(RopeSkippingSkalawert[[#This Row],[Skala-Wert]]="","",REPLACE(INDEX(StdDisziplinen[TabÜberschriftNote],KS$3),FIND("X",INDEX(StdDisziplinen[TabÜberschriftNote],KS$3),1),2,KV23))</f>
        <v/>
      </c>
      <c r="LA23" s="45" t="str">
        <f ca="1">IF(OR(KZ23="",RopeSkippingSkalawert[[#This Row],[Skala-Wert]]=Stammdaten!$AX$19),"",INDEX(INDIRECT(KZ23),MATCH(RopeSkippingSkalawert[[#This Row],[Skala-Wert]],INDIRECT(KW23),0)))</f>
        <v/>
      </c>
      <c r="LB23" s="31"/>
      <c r="LC23" s="599"/>
      <c r="LD23" s="190"/>
      <c r="LE23" s="586">
        <f>IF(LE$16,IF(LF$16=0.5,MROUND(AerobicResultat[[#This Row],[Resultat]],LF$16),ROUND(AerobicResultat[[#This Row],[Resultat]],LF$16)),ROUNDDOWN(AerobicResultat[[#This Row],[Resultat]],LF$16))</f>
        <v>0</v>
      </c>
      <c r="LF23" s="191" t="str">
        <f>IF(OR(Geschlecht[[#This Row],[Geschlecht (Skala)]]="",LC$16=""),"",MID(Geschlecht[[#This Row],[Geschlecht (Skala)]],1,1)&amp;MID(LC$16,1,1))</f>
        <v/>
      </c>
      <c r="LG23" s="190" t="str">
        <f>IF(OR(LF23="",AerobicResultat[[#This Row],[Resultat]]=""),"",REPLACE(INDEX(StdDisziplinen[TabÜberschriftResultat],LC$3),FIND("X",INDEX(StdDisziplinen[TabÜberschriftResultat],LC$3),1),2,LF23))</f>
        <v/>
      </c>
      <c r="LH23" s="31" t="str">
        <f ca="1">IF(LG23="","",IF(OR(AerobicResultat[[#This Row],[Resultat]]=Stammdaten!$AX$22,AerobicResultat[[#This Row],[Resultat]]=Stammdaten!$AX$19),Stammdaten!$AX$19,IF(ISNA(INDEX(INDIRECT(LG23),MATCH(AerobicGerundet[[#This Row],[Rundung]],INDIRECT(LG23),LG$18))),IF(LG$18=-1,LARGE(INDIRECT(LG23),1),SMALL(INDIRECT(LG23),1)),INDEX(INDIRECT(LG23),MATCH(AerobicGerundet[[#This Row],[Rundung]],INDIRECT(LG23),LG$18)))))</f>
        <v/>
      </c>
      <c r="LJ23" s="18" t="str">
        <f ca="1">IF(AerobicSkalawert[[#This Row],[Skala-Wert]]="","",REPLACE(INDEX(StdDisziplinen[TabÜberschriftNote],LC$3),FIND("X",INDEX(StdDisziplinen[TabÜberschriftNote],LC$3),1),2,LF23))</f>
        <v/>
      </c>
      <c r="LK23" s="45" t="str">
        <f ca="1">IF(OR(LJ23="",AerobicSkalawert[[#This Row],[Skala-Wert]]=Stammdaten!$AX$19),"",INDEX(INDIRECT(LJ23),MATCH(AerobicSkalawert[[#This Row],[Skala-Wert]],INDIRECT(LG23),0)))</f>
        <v/>
      </c>
      <c r="LL23" s="31"/>
      <c r="LM23" s="45" t="str">
        <f ca="1">IF(TanzenSkalawert[[#This Row],[Skala-Wert]]=$A$3,$A$2,IF(ISNUMBER(TanzenSkalawert[[#This Row],[Skala-Wert]]),TanzenNote[[#This Row],[Note]],"!"))</f>
        <v>!</v>
      </c>
      <c r="LN23" s="45" t="str">
        <f ca="1">IF(RopeSkippingSkalawert[[#This Row],[Skala-Wert]]=$A$3,$A$2,IF(ISNUMBER(RopeSkippingSkalawert[[#This Row],[Skala-Wert]]),RopeSkippingNote[[#This Row],[Note]],"!"))</f>
        <v>!</v>
      </c>
      <c r="LO23" s="45" t="str">
        <f ca="1">IF(AerobicSkalawert[[#This Row],[Skala-Wert]]=$A$3,$A$2,IF(ISNUMBER(AerobicSkalawert[[#This Row],[Skala-Wert]]),AerobicNote[[#This Row],[Note]],"!"))</f>
        <v>!</v>
      </c>
      <c r="LP23" s="36">
        <f t="shared" ca="1" si="132"/>
        <v>0</v>
      </c>
      <c r="LQ23" s="36">
        <f t="shared" ca="1" si="133"/>
        <v>0</v>
      </c>
      <c r="LR23" s="244" t="str">
        <f t="shared" ca="1" si="22"/>
        <v>nd</v>
      </c>
      <c r="LS23" s="244" t="str">
        <f t="shared" ca="1" si="23"/>
        <v>nd</v>
      </c>
      <c r="LT23" s="244" t="str">
        <f t="shared" ca="1" si="24"/>
        <v>nd</v>
      </c>
      <c r="LU23" s="242" t="str">
        <f t="shared" ca="1" si="25"/>
        <v/>
      </c>
      <c r="LV23" s="242" t="str">
        <f t="shared" ca="1" si="134"/>
        <v/>
      </c>
      <c r="LW23" s="242" t="str">
        <f t="shared" ca="1" si="135"/>
        <v/>
      </c>
      <c r="LX23" s="242" t="str">
        <f ca="1">IF(LW23="",Stammdaten!$AM$4,INDEX(INDIRECT($B$4),MATCH($LW23,INDIRECT($B$5),0)))</f>
        <v>Darstellen und Tanzen</v>
      </c>
      <c r="LY23" s="242" t="str">
        <f ca="1">IF(LW23="",Stammdaten!$AY$27,IF(ISNUMBER(LU23),LX23,IF(ISNUMBER(LV23),TRIM(Stammdaten!$AX$25),"")))</f>
        <v>nicht durchgeführt</v>
      </c>
      <c r="LZ23" s="242" t="str">
        <f t="shared" ca="1" si="136"/>
        <v>Darstellen und Tanzen</v>
      </c>
      <c r="MA23" s="242" t="str">
        <f t="shared" ca="1" si="137"/>
        <v/>
      </c>
      <c r="MB23" s="242" t="str">
        <f t="shared" ca="1" si="26"/>
        <v>Darstellen und TanzenResultat[@Resultat]</v>
      </c>
      <c r="MC23" s="274" t="str">
        <f t="shared" ca="1" si="138"/>
        <v/>
      </c>
      <c r="MD23" s="242" t="str">
        <f t="shared" ca="1" si="139"/>
        <v>Darstellen und TanzenSkalawert[@[Skala-Wert]]</v>
      </c>
      <c r="ME23" s="274" t="str">
        <f t="shared" ca="1" si="140"/>
        <v/>
      </c>
      <c r="MF23" s="47" t="str">
        <f t="shared" ca="1" si="27"/>
        <v/>
      </c>
      <c r="MG23" s="200" t="str">
        <f t="shared" ca="1" si="141"/>
        <v>StdDisziplinen[MaxTextSt]</v>
      </c>
      <c r="MH23" s="200" t="str">
        <f t="shared" ca="1" si="142"/>
        <v/>
      </c>
      <c r="MI23" s="45"/>
      <c r="MJ23" s="98" t="str">
        <f ca="1">IF(LP23&gt;0,MAX(LM23:LO23),IF(LQ23&gt;0,$A$3,INDEX(StdFehler[StdFehler],4)))</f>
        <v>Zu wenige Noten</v>
      </c>
      <c r="MK23" s="45"/>
      <c r="ML23" s="37"/>
      <c r="MM23" s="190"/>
      <c r="MN23" s="586">
        <f>IF(MN$16,IF(MO$16=0.5,MROUND(BasketballResultat[[#This Row],[Resultat]],MO$16),ROUND(BasketballResultat[[#This Row],[Resultat]],MO$16)),ROUNDDOWN(BasketballResultat[[#This Row],[Resultat]],MO$16))</f>
        <v>0</v>
      </c>
      <c r="MO23" s="191" t="str">
        <f>IF(OR(Geschlecht[[#This Row],[Geschlecht (Skala)]]="",ML$16=""),"",MID(Geschlecht[[#This Row],[Geschlecht (Skala)]],1,1)&amp;MID(ML$16,1,1))</f>
        <v/>
      </c>
      <c r="MP23" s="190" t="str">
        <f>IF(OR(MO23="",BasketballResultat[[#This Row],[Resultat]]=""),"",REPLACE(INDEX(StdDisziplinen[TabÜberschriftResultat],ML$3),FIND("X",INDEX(StdDisziplinen[TabÜberschriftResultat],ML$3),1),2,MO23))</f>
        <v/>
      </c>
      <c r="MQ23" s="31" t="str">
        <f ca="1">IF(MP23="","",IF(OR(BasketballResultat[[#This Row],[Resultat]]=Stammdaten!$AX$22,BasketballResultat[[#This Row],[Resultat]]=Stammdaten!$AX$19),Stammdaten!$AX$19,IF(ISNA(INDEX(INDIRECT(MP23),MATCH(BasketballGerundet[[#This Row],[Rundung]],INDIRECT(MP23),MP$18))),IF(MP$18=-1,LARGE(INDIRECT(MP23),1),SMALL(INDIRECT(MP23),1)),INDEX(INDIRECT(MP23),MATCH(BasketballGerundet[[#This Row],[Rundung]],INDIRECT(MP23),MP$18)))))</f>
        <v/>
      </c>
      <c r="MS23" s="18" t="str">
        <f ca="1">IF(BasketballSkalawert[[#This Row],[Skala-Wert]]="","",REPLACE(INDEX(StdDisziplinen[TabÜberschriftNote],ML$3),FIND("X",INDEX(StdDisziplinen[TabÜberschriftNote],ML$3),1),2,MO23))</f>
        <v/>
      </c>
      <c r="MT23" s="31" t="str">
        <f ca="1">IF(OR(MS23="",BasketballSkalawert[[#This Row],[Skala-Wert]]=Stammdaten!$AX$19),"",INDEX(INDIRECT(MS23),MATCH(BasketballSkalawert[[#This Row],[Skala-Wert]],INDIRECT(MP23),0)))</f>
        <v/>
      </c>
      <c r="MU23" s="31"/>
      <c r="MV23" s="37"/>
      <c r="MW23" s="190"/>
      <c r="MX23" s="586">
        <f>IF(MX$16,IF(MY$16=0.5,MROUND(FussballResultat[[#This Row],[Resultat]],MY$16),ROUND(FussballResultat[[#This Row],[Resultat]],MY$16)),ROUNDDOWN(FussballResultat[[#This Row],[Resultat]],MY$16))</f>
        <v>0</v>
      </c>
      <c r="MY23" s="191" t="str">
        <f>IF(OR(Geschlecht[[#This Row],[Geschlecht (Skala)]]="",MV$16=""),"",MID(Geschlecht[[#This Row],[Geschlecht (Skala)]],1,1)&amp;MID(MV$16,1,1))</f>
        <v/>
      </c>
      <c r="MZ23" s="190" t="str">
        <f>IF(OR(MY23="",FussballResultat[[#This Row],[Resultat]]=""),"",REPLACE(INDEX(StdDisziplinen[TabÜberschriftResultat],MV$3),FIND("X",INDEX(StdDisziplinen[TabÜberschriftResultat],MV$3),1),2,MY23))</f>
        <v/>
      </c>
      <c r="NA23" s="31" t="str">
        <f ca="1">IF(MZ23="","",IF(OR(FussballResultat[[#This Row],[Resultat]]=Stammdaten!$AX$22,FussballResultat[[#This Row],[Resultat]]=Stammdaten!$AX$19),Stammdaten!$AX$19,IF(ISNA(INDEX(INDIRECT(MZ23),MATCH(FussballGerundet[[#This Row],[Rundung]],INDIRECT(MZ23),MZ$18))),IF(MZ$18=-1,LARGE(INDIRECT(MZ23),1),SMALL(INDIRECT(MZ23),1)),INDEX(INDIRECT(MZ23),MATCH(FussballGerundet[[#This Row],[Rundung]],INDIRECT(MZ23),MZ$18)))))</f>
        <v/>
      </c>
      <c r="NC23" s="18" t="str">
        <f ca="1">IF(FussballSkalawert[[#This Row],[Skala-Wert]]="","",REPLACE(INDEX(StdDisziplinen[TabÜberschriftNote],MV$3),FIND("X",INDEX(StdDisziplinen[TabÜberschriftNote],MV$3),1),2,MY23))</f>
        <v/>
      </c>
      <c r="ND23" s="31" t="str">
        <f ca="1">IF(OR(NC23="",FussballSkalawert[[#This Row],[Skala-Wert]]=Stammdaten!$AX$19),"",INDEX(INDIRECT(NC23),MATCH(FussballSkalawert[[#This Row],[Skala-Wert]],INDIRECT(MZ23),0)))</f>
        <v/>
      </c>
      <c r="NE23" s="31"/>
      <c r="NF23" s="37"/>
      <c r="NG23" s="190"/>
      <c r="NH23" s="586">
        <f>IF(NH$16,IF(NI$16=0.5,MROUND(HandballResultat[[#This Row],[Resultat]],NI$16),ROUND(HandballResultat[[#This Row],[Resultat]],NI$16)),ROUNDDOWN(HandballResultat[[#This Row],[Resultat]],NI$16))</f>
        <v>0</v>
      </c>
      <c r="NI23" s="191" t="str">
        <f>IF(OR(Geschlecht[[#This Row],[Geschlecht (Skala)]]="",NF$16=""),"",MID(Geschlecht[[#This Row],[Geschlecht (Skala)]],1,1)&amp;MID(NF$16,1,1))</f>
        <v/>
      </c>
      <c r="NJ23" s="190" t="str">
        <f>IF(OR(NI23="",HandballResultat[[#This Row],[Resultat]]=""),"",REPLACE(INDEX(StdDisziplinen[TabÜberschriftResultat],NF$3),FIND("X",INDEX(StdDisziplinen[TabÜberschriftResultat],NF$3),1),2,NI23))</f>
        <v/>
      </c>
      <c r="NK23" s="31" t="str">
        <f ca="1">IF(NJ23="","",IF(OR(HandballResultat[[#This Row],[Resultat]]=Stammdaten!$AX$22,HandballResultat[[#This Row],[Resultat]]=Stammdaten!$AX$19),Stammdaten!$AX$19,IF(ISNA(INDEX(INDIRECT(NJ23),MATCH(HandballGerundet[[#This Row],[Rundung]],INDIRECT(NJ23),NJ$18))),IF(NJ$18=-1,LARGE(INDIRECT(NJ23),1),SMALL(INDIRECT(NJ23),1)),INDEX(INDIRECT(NJ23),MATCH(HandballGerundet[[#This Row],[Rundung]],INDIRECT(NJ23),NJ$18)))))</f>
        <v/>
      </c>
      <c r="NM23" s="18" t="str">
        <f ca="1">IF(HandballSkalawert[[#This Row],[Skala-Wert]]="","",REPLACE(INDEX(StdDisziplinen[TabÜberschriftNote],NF$3),FIND("X",INDEX(StdDisziplinen[TabÜberschriftNote],NF$3),1),2,NI23))</f>
        <v/>
      </c>
      <c r="NN23" s="31" t="str">
        <f ca="1">IF(OR(NM23="",HandballSkalawert[[#This Row],[Skala-Wert]]=Stammdaten!$AX$19),"",INDEX(INDIRECT(NM23),MATCH(HandballSkalawert[[#This Row],[Skala-Wert]],INDIRECT(NJ23),0)))</f>
        <v/>
      </c>
      <c r="NO23" s="31"/>
      <c r="NP23" s="37"/>
      <c r="NQ23" s="190"/>
      <c r="NR23" s="586">
        <f>IF(NR$16,IF(NS$16=0.5,MROUND(UnihockeyResultat[[#This Row],[Resultat]],NS$16),ROUND(UnihockeyResultat[[#This Row],[Resultat]],NS$16)),ROUNDDOWN(UnihockeyResultat[[#This Row],[Resultat]],NS$16))</f>
        <v>0</v>
      </c>
      <c r="NS23" s="191" t="str">
        <f>IF(OR(Geschlecht[[#This Row],[Geschlecht (Skala)]]="",NP$16=""),"",MID(Geschlecht[[#This Row],[Geschlecht (Skala)]],1,1)&amp;MID(NP$16,1,1))</f>
        <v/>
      </c>
      <c r="NT23" s="190" t="str">
        <f>IF(OR(NS23="",UnihockeyResultat[[#This Row],[Resultat]]=""),"",REPLACE(INDEX(StdDisziplinen[TabÜberschriftResultat],NP$3),FIND("X",INDEX(StdDisziplinen[TabÜberschriftResultat],NP$3),1),2,NS23))</f>
        <v/>
      </c>
      <c r="NU23" s="31" t="str">
        <f ca="1">IF(NT23="","",IF(OR(UnihockeyResultat[[#This Row],[Resultat]]=Stammdaten!$AX$22,UnihockeyResultat[[#This Row],[Resultat]]=Stammdaten!$AX$19),Stammdaten!$AX$19,IF(ISNA(INDEX(INDIRECT(NT23),MATCH(UnihockeyGerundet[[#This Row],[Rundung]],INDIRECT(NT23),NT$18))),IF(NT$18=-1,LARGE(INDIRECT(NT23),1),SMALL(INDIRECT(NT23),1)),INDEX(INDIRECT(NT23),MATCH(UnihockeyGerundet[[#This Row],[Rundung]],INDIRECT(NT23),NT$18)))))</f>
        <v/>
      </c>
      <c r="NW23" s="18" t="str">
        <f ca="1">IF(UnihockeySkalawert[[#This Row],[Skala-Wert]]="","",REPLACE(INDEX(StdDisziplinen[TabÜberschriftNote],NP$3),FIND("X",INDEX(StdDisziplinen[TabÜberschriftNote],NP$3),1),2,NS23))</f>
        <v/>
      </c>
      <c r="NX23" s="31" t="str">
        <f ca="1">IF(OR(NW23="",UnihockeySkalawert[[#This Row],[Skala-Wert]]=Stammdaten!$AX$19),"",INDEX(INDIRECT(NW23),MATCH(UnihockeySkalawert[[#This Row],[Skala-Wert]],INDIRECT(NT23),0)))</f>
        <v/>
      </c>
      <c r="NY23" s="31"/>
      <c r="NZ23" s="597"/>
      <c r="OA23" s="190"/>
      <c r="OB23" s="587">
        <f>IF(OB$16,IF(OC$16=0.5,MROUND(VolleyballResultat[[#This Row],[Resultat]],OC$16),ROUND(VolleyballResultat[[#This Row],[Resultat]],OC$16)),ROUNDDOWN(VolleyballResultat[[#This Row],[Resultat]],OC$16))</f>
        <v>0</v>
      </c>
      <c r="OC23" s="191" t="str">
        <f>IF(OR(Geschlecht[[#This Row],[Geschlecht (Skala)]]="",NZ$16=""),"",MID(Geschlecht[[#This Row],[Geschlecht (Skala)]],1,1)&amp;MID(NZ$16,1,1))</f>
        <v/>
      </c>
      <c r="OD23" s="190" t="str">
        <f>IF(OR(OC23="",VolleyballResultat[[#This Row],[Resultat]]=""),"",REPLACE(INDEX(StdDisziplinen[TabÜberschriftResultat],NZ$3),FIND("X",INDEX(StdDisziplinen[TabÜberschriftResultat],NZ$3),1),2,OC23))</f>
        <v/>
      </c>
      <c r="OE23" s="192" t="str">
        <f ca="1">IF(OD23="","",IF(OR(VolleyballResultat[[#This Row],[Resultat]]=Stammdaten!$AX$22,VolleyballResultat[[#This Row],[Resultat]]=Stammdaten!$AX$19),Stammdaten!$AX$19,IF(ISNA(INDEX(INDIRECT(OD23),MATCH(VolleyballGerundet[[#This Row],[Rundung]],INDIRECT(OD23),OD$18))),IF(OD$18=-1,LARGE(INDIRECT(OD23),1),SMALL(INDIRECT(OD23),1)),INDEX(INDIRECT(OD23),MATCH(VolleyballGerundet[[#This Row],[Rundung]],INDIRECT(OD23),OD$18)))))</f>
        <v/>
      </c>
      <c r="OG23" s="18" t="str">
        <f ca="1">IF(VolleyballSkalawert[[#This Row],[Skala-Wert]]="","",REPLACE(INDEX(StdDisziplinen[TabÜberschriftNote],NZ$3),FIND("X",INDEX(StdDisziplinen[TabÜberschriftNote],NZ$3),1),2,OC23))</f>
        <v/>
      </c>
      <c r="OH23" s="31" t="str">
        <f ca="1">IF(OR(OG23="",VolleyballSkalawert[[#This Row],[Skala-Wert]]=Stammdaten!$AX$19),"",INDEX(INDIRECT(OG23),MATCH(VolleyballSkalawert[[#This Row],[Skala-Wert]],INDIRECT(OD23),0)))</f>
        <v/>
      </c>
      <c r="OI23" s="45"/>
      <c r="OJ23" s="31">
        <f ca="1">IF(BasketballSkalawert[[#This Row],[Skala-Wert]]=$A$3,$A$2,IF(BasketballNote[[#This Row],[Note]]="",0,BasketballNote[[#This Row],[Note]]))</f>
        <v>0</v>
      </c>
      <c r="OK23" s="31">
        <f ca="1">IF(FussballSkalawert[[#This Row],[Skala-Wert]]=$A$3,$A$2,IF(FussballNote[[#This Row],[Note]]="",0,FussballNote[[#This Row],[Note]]))</f>
        <v>0</v>
      </c>
      <c r="OL23" s="31">
        <f ca="1">IF(HandballSkalawert[[#This Row],[Skala-Wert]]=$A$3,$A$2,IF(HandballNote[[#This Row],[Note]]="",0,HandballNote[[#This Row],[Note]]))</f>
        <v>0</v>
      </c>
      <c r="OM23" s="31">
        <f ca="1">IF(UnihockeySkalawert[[#This Row],[Skala-Wert]]=$A$3,$A$2,IF(UnihockeyNote[[#This Row],[Note]]="",0,UnihockeyNote[[#This Row],[Note]]))</f>
        <v>0</v>
      </c>
      <c r="ON23" s="31">
        <f ca="1">IF(VolleyballSkalawert[[#This Row],[Skala-Wert]]=$A$3,$A$2,IF(VolleyballNote[[#This Row],[Note]]="",0,VolleyballNote[[#This Row],[Note]]))</f>
        <v>0</v>
      </c>
      <c r="OO23" s="202">
        <f t="shared" ca="1" si="28"/>
        <v>0</v>
      </c>
      <c r="OP23" s="202">
        <f t="shared" ca="1" si="29"/>
        <v>0</v>
      </c>
      <c r="OQ23" s="202">
        <f t="shared" ca="1" si="143"/>
        <v>0</v>
      </c>
      <c r="OR23" s="96" t="str">
        <f t="shared" ca="1" si="144"/>
        <v>!</v>
      </c>
      <c r="OS23" s="96" t="str">
        <f t="shared" ca="1" si="30"/>
        <v>!</v>
      </c>
      <c r="OT23" s="96" t="str">
        <f t="shared" ca="1" si="31"/>
        <v>!</v>
      </c>
      <c r="OU23" s="96" t="str">
        <f ca="1">IF(NOT(OQ23),INDEX(StdFehler[StdFehler],4),IF(COUNTIF(OR23:OT23,$A$2)&gt;=$OQ$13,$A$3,ROUND(AVERAGE(OR23:OT23)/$RX$4,0)*$RX$4))</f>
        <v>Zu wenige Noten</v>
      </c>
      <c r="OV23" s="244" t="str">
        <f t="shared" ca="1" si="145"/>
        <v>nd</v>
      </c>
      <c r="OW23" s="244" t="str">
        <f t="shared" ca="1" si="146"/>
        <v>nd</v>
      </c>
      <c r="OX23" s="244" t="str">
        <f t="shared" ca="1" si="147"/>
        <v>nd</v>
      </c>
      <c r="OY23" s="244" t="str">
        <f t="shared" ca="1" si="148"/>
        <v>nd</v>
      </c>
      <c r="OZ23" s="244" t="str">
        <f t="shared" ca="1" si="149"/>
        <v>nd</v>
      </c>
      <c r="PA23" s="202" t="b">
        <f t="shared" ca="1" si="150"/>
        <v>0</v>
      </c>
      <c r="PB23" s="202">
        <f t="shared" ca="1" si="151"/>
        <v>1</v>
      </c>
      <c r="PC23" s="202">
        <f t="shared" ca="1" si="152"/>
        <v>0</v>
      </c>
      <c r="PD23" s="96" t="str">
        <f t="shared" ca="1" si="153"/>
        <v/>
      </c>
      <c r="PE23" s="96" t="str">
        <f t="shared" ca="1" si="154"/>
        <v/>
      </c>
      <c r="PF23" s="200">
        <f t="shared" ca="1" si="155"/>
        <v>0</v>
      </c>
      <c r="PG23" s="202" t="str">
        <f t="shared" ca="1" si="156"/>
        <v/>
      </c>
      <c r="PH23" s="200" t="str">
        <f t="shared" ca="1" si="157"/>
        <v/>
      </c>
      <c r="PI23" s="200" t="str">
        <f t="shared" ca="1" si="158"/>
        <v/>
      </c>
      <c r="PJ23" s="200" t="str">
        <f t="shared" ca="1" si="159"/>
        <v/>
      </c>
      <c r="PK23" s="242" t="str">
        <f t="shared" ca="1" si="160"/>
        <v/>
      </c>
      <c r="PL23" s="242" t="str">
        <f t="shared" ca="1" si="161"/>
        <v/>
      </c>
      <c r="PM23" s="242" t="str">
        <f t="shared" ca="1" si="162"/>
        <v/>
      </c>
      <c r="PN23" s="242" t="str">
        <f t="shared" ca="1" si="163"/>
        <v>Erste Spielsportart</v>
      </c>
      <c r="PO23" s="242" t="str">
        <f ca="1">IF(PN23=$PM$11,Stammdaten!$AY$27,IF(PR23=$A$2,TRIM(Stammdaten!$AX$25),""))</f>
        <v>nicht durchgeführt</v>
      </c>
      <c r="PP23" s="242" t="str">
        <f t="shared" ca="1" si="164"/>
        <v/>
      </c>
      <c r="PQ23" s="202" t="str">
        <f t="shared" ca="1" si="165"/>
        <v>Erste SpielsportartResultat[@Resultat]</v>
      </c>
      <c r="PR23" s="98" t="str">
        <f t="shared" ca="1" si="166"/>
        <v/>
      </c>
      <c r="PS23" s="202" t="str">
        <f t="shared" ca="1" si="167"/>
        <v/>
      </c>
      <c r="PT23" s="202" t="str">
        <f t="shared" ca="1" si="168"/>
        <v>Erste SpielsportartSkalawert[@[Skala-Wert]]</v>
      </c>
      <c r="PU23" s="98" t="str">
        <f t="shared" ca="1" si="169"/>
        <v/>
      </c>
      <c r="PV23" s="202" t="str">
        <f t="shared" ca="1" si="170"/>
        <v/>
      </c>
      <c r="PW23" s="202" t="str">
        <f t="shared" ca="1" si="171"/>
        <v/>
      </c>
      <c r="PX23" s="202" t="str">
        <f t="shared" ca="1" si="172"/>
        <v>StdDisziplinen[MaxTextSt]</v>
      </c>
      <c r="PY23" s="202" t="str">
        <f t="shared" ca="1" si="173"/>
        <v/>
      </c>
      <c r="PZ23" s="202" t="b">
        <f t="shared" ca="1" si="174"/>
        <v>0</v>
      </c>
      <c r="QA23" s="202" t="str">
        <f t="shared" ca="1" si="175"/>
        <v/>
      </c>
      <c r="QB23" s="202" t="str">
        <f t="shared" ca="1" si="32"/>
        <v/>
      </c>
      <c r="QC23" s="202" t="str">
        <f t="shared" ca="1" si="176"/>
        <v/>
      </c>
      <c r="QD23" s="202" t="str">
        <f t="shared" ca="1" si="177"/>
        <v/>
      </c>
      <c r="QE23" s="242" t="str">
        <f t="shared" ca="1" si="178"/>
        <v/>
      </c>
      <c r="QF23" s="242" t="str">
        <f t="shared" ca="1" si="179"/>
        <v/>
      </c>
      <c r="QG23" s="242" t="str">
        <f t="shared" ca="1" si="180"/>
        <v>Zweite Spielsportart</v>
      </c>
      <c r="QH23" s="242" t="str">
        <f ca="1">IF(QG23=$QF$11,Stammdaten!$AY$27,IF(QK23=$A$2,TRIM(Stammdaten!$AX$25),""))</f>
        <v>nicht durchgeführt</v>
      </c>
      <c r="QI23" s="242" t="str">
        <f t="shared" ca="1" si="181"/>
        <v/>
      </c>
      <c r="QJ23" s="202" t="str">
        <f t="shared" ca="1" si="182"/>
        <v>Zweite SpielsportartResultat[@Resultat]</v>
      </c>
      <c r="QK23" s="98" t="str">
        <f t="shared" ca="1" si="183"/>
        <v/>
      </c>
      <c r="QL23" s="202" t="str">
        <f t="shared" ca="1" si="184"/>
        <v/>
      </c>
      <c r="QM23" s="202" t="str">
        <f t="shared" ca="1" si="185"/>
        <v>Zweite SpielsportartSkalawert[@[Skala-Wert]]</v>
      </c>
      <c r="QN23" s="98" t="str">
        <f t="shared" ca="1" si="186"/>
        <v/>
      </c>
      <c r="QO23" s="202" t="str">
        <f t="shared" ca="1" si="187"/>
        <v/>
      </c>
      <c r="QP23" s="202" t="str">
        <f t="shared" ca="1" si="188"/>
        <v/>
      </c>
      <c r="QQ23" s="202" t="str">
        <f t="shared" ca="1" si="189"/>
        <v>StdDisziplinen[MaxTextSt]</v>
      </c>
      <c r="QR23" s="202" t="str">
        <f t="shared" ca="1" si="190"/>
        <v/>
      </c>
      <c r="QS23" s="202" t="b">
        <f t="shared" ca="1" si="191"/>
        <v>0</v>
      </c>
      <c r="QT23" s="242" t="str">
        <f t="shared" ca="1" si="33"/>
        <v>Dritte Spielsportart</v>
      </c>
      <c r="QU23" s="242" t="str">
        <f ca="1">IF(QT23=$QT$11,MID(Stammdaten!$AX$27,2,LEN(Stammdaten!$AX$27)),IF(QX23=$A$2,TRIM(Stammdaten!$AX$25),""))</f>
        <v>nicht durchgeführt</v>
      </c>
      <c r="QV23" s="242" t="str">
        <f t="shared" ca="1" si="34"/>
        <v/>
      </c>
      <c r="QW23" s="202" t="str">
        <f t="shared" ca="1" si="192"/>
        <v>Dritte SpielsportartResultat[@Resultat]</v>
      </c>
      <c r="QX23" s="98" t="str">
        <f t="shared" ca="1" si="193"/>
        <v/>
      </c>
      <c r="QY23" s="202" t="str">
        <f t="shared" ca="1" si="35"/>
        <v/>
      </c>
      <c r="QZ23" s="202" t="str">
        <f t="shared" ca="1" si="194"/>
        <v>Dritte SpielsportartSkalawert[@[Skala-Wert]]</v>
      </c>
      <c r="RA23" s="98" t="str">
        <f t="shared" ca="1" si="195"/>
        <v/>
      </c>
      <c r="RB23" s="202" t="str">
        <f t="shared" ca="1" si="36"/>
        <v/>
      </c>
      <c r="RC23" s="202" t="str">
        <f t="shared" ca="1" si="196"/>
        <v/>
      </c>
      <c r="RD23" s="202" t="str">
        <f t="shared" ca="1" si="197"/>
        <v>StdDisziplinen[MaxTextSt]</v>
      </c>
      <c r="RE23" s="202" t="str">
        <f t="shared" ca="1" si="37"/>
        <v/>
      </c>
      <c r="RF23" s="244">
        <f t="shared" ca="1" si="38"/>
        <v>99</v>
      </c>
      <c r="RG23" s="244">
        <f t="shared" ca="1" si="39"/>
        <v>99</v>
      </c>
      <c r="RH23" s="244">
        <f t="shared" ca="1" si="40"/>
        <v>99</v>
      </c>
      <c r="RI23" s="244">
        <f t="shared" ca="1" si="41"/>
        <v>99</v>
      </c>
      <c r="RJ23" s="244">
        <f t="shared" ca="1" si="42"/>
        <v>99</v>
      </c>
      <c r="RK23" s="244">
        <f t="shared" ca="1" si="198"/>
        <v>99</v>
      </c>
      <c r="RL23" s="244">
        <f t="shared" ca="1" si="199"/>
        <v>99</v>
      </c>
      <c r="RM23" s="244">
        <f t="shared" ca="1" si="200"/>
        <v>99</v>
      </c>
      <c r="RN23" s="244">
        <f t="shared" ca="1" si="201"/>
        <v>99</v>
      </c>
      <c r="RO23" s="244">
        <f t="shared" ca="1" si="202"/>
        <v>99</v>
      </c>
      <c r="RP23" s="202" t="str">
        <f t="shared" ca="1" si="43"/>
        <v>Zu wenige Noten</v>
      </c>
      <c r="RQ23" s="202" t="str">
        <f t="shared" ca="1" si="203"/>
        <v>Zu wenige Noten</v>
      </c>
      <c r="RR23" s="202" t="str">
        <f t="shared" ca="1" si="203"/>
        <v>Zu wenige Noten</v>
      </c>
      <c r="RS23" s="202" t="str">
        <f t="shared" ca="1" si="204"/>
        <v>Zu wenige Noten</v>
      </c>
      <c r="RT23" s="202" t="str">
        <f t="shared" ca="1" si="204"/>
        <v>Zu wenige Noten</v>
      </c>
      <c r="RU23" s="202" t="str">
        <f t="shared" ca="1" si="205"/>
        <v>Zu wenige Noten</v>
      </c>
      <c r="RV23" s="202" t="str">
        <f t="shared" ca="1" si="206"/>
        <v>Zu wenige Noten</v>
      </c>
      <c r="RW23" s="31"/>
      <c r="RX23" s="56" t="str">
        <f t="shared" ca="1" si="44"/>
        <v>Zu wenige Noten</v>
      </c>
      <c r="RY23" s="31"/>
      <c r="RZ23" s="31" t="str">
        <f t="shared" ca="1" si="45"/>
        <v>Zu wenige Noten</v>
      </c>
      <c r="SA23" s="31" t="str">
        <f t="shared" ca="1" si="46"/>
        <v>Zu wenige Noten</v>
      </c>
      <c r="SB23" s="45" t="str">
        <f t="shared" ca="1" si="47"/>
        <v>Zu wenige Noten</v>
      </c>
      <c r="SC23" s="31" t="str">
        <f t="shared" ca="1" si="207"/>
        <v>Zu wenige Noten</v>
      </c>
      <c r="SD23" s="31" t="str">
        <f t="shared" ca="1" si="208"/>
        <v>Zu wenige Noten</v>
      </c>
      <c r="SE23" s="31" t="str">
        <f t="shared" ca="1" si="48"/>
        <v>Zu wenige Noten</v>
      </c>
      <c r="SF23" s="31" t="str">
        <f t="shared" ca="1" si="209"/>
        <v>Zu wenige Noten</v>
      </c>
      <c r="SG23" s="31" t="str">
        <f t="shared" ca="1" si="48"/>
        <v>Zu wenige Noten</v>
      </c>
      <c r="SH23" s="36">
        <f t="shared" ca="1" si="210"/>
        <v>0</v>
      </c>
      <c r="SI23" s="36">
        <f t="shared" ca="1" si="211"/>
        <v>0</v>
      </c>
      <c r="SJ23" s="36">
        <f t="shared" ca="1" si="212"/>
        <v>0</v>
      </c>
      <c r="SK23" s="31">
        <f t="shared" ca="1" si="213"/>
        <v>99</v>
      </c>
      <c r="SL23" s="31">
        <f t="shared" ca="1" si="214"/>
        <v>99</v>
      </c>
      <c r="SM23" s="36" t="str">
        <f t="shared" ca="1" si="215"/>
        <v>99.0</v>
      </c>
      <c r="SN23" s="31">
        <f t="shared" ca="1" si="216"/>
        <v>99</v>
      </c>
      <c r="SO23" s="36" t="str">
        <f ca="1">IF(NOT(SJ23),INDEX(StdFehler[StdFehler],4),IF(SI23=$SJ$13,$A$3,CONCATENATE(TEXT(SK23,"#.0"),", ",TEXT(SL23,"#.0"),", ",SM23,", ",TEXT(SN23,"#.0"))))</f>
        <v>Zu wenige Noten</v>
      </c>
      <c r="SP23" s="36" t="str">
        <f t="shared" ca="1" si="49"/>
        <v>Zu wenige Noten</v>
      </c>
      <c r="SQ23" s="36" t="str">
        <f t="shared" ca="1" si="49"/>
        <v>Zu wenige Noten</v>
      </c>
      <c r="SR23" s="36" t="str">
        <f t="shared" ca="1" si="49"/>
        <v>Zu wenige Noten</v>
      </c>
      <c r="SS23" s="36" t="str">
        <f t="shared" ca="1" si="49"/>
        <v>Zu wenige Noten</v>
      </c>
      <c r="ST23" s="36" t="str">
        <f t="shared" ca="1" si="217"/>
        <v>Zu wenige Noten</v>
      </c>
      <c r="SU23" s="36"/>
      <c r="SV23" s="214" t="str">
        <f t="shared" si="218"/>
        <v>D</v>
      </c>
      <c r="SW23" s="36"/>
      <c r="SX23" s="214" t="str">
        <f t="shared" si="219"/>
        <v>D</v>
      </c>
      <c r="SY23" s="36"/>
      <c r="SZ23" s="214" t="str">
        <f t="shared" si="220"/>
        <v>D</v>
      </c>
      <c r="TA23" s="36"/>
      <c r="TB23" s="214" t="str">
        <f t="shared" si="221"/>
        <v>D</v>
      </c>
      <c r="TC23" s="31"/>
      <c r="TD23" s="36" t="str">
        <f t="shared" ca="1" si="222"/>
        <v>Zu wenige Noten</v>
      </c>
      <c r="TE23" s="31"/>
      <c r="TF23" s="193" t="str">
        <f ca="1">IF(NOT(SJ23),INDEX(StdFehler[StdFehler],4),IF(SI23=$TF$4,$A$3,ROUND(AVERAGE(RZ23:SC23)/$TF$5,0)*$TF$5))</f>
        <v>Zu wenige Noten</v>
      </c>
      <c r="TH23" s="595" t="str">
        <f>IF(OR($TH$18=Stammdaten!$AX$20,$TH$18=""),Stammdaten!$AX$20,$TH$18)</f>
        <v>Disziplin</v>
      </c>
      <c r="TI23" s="33"/>
      <c r="TJ23" s="33" t="str">
        <f>IF(OR(Geschlecht[[#This Row],[Geschlecht (Skala)]]="",TH23="",TH23=Stammdaten!$AX$20),"",REPLACE(INDEX(StdDisziplinen[TabÜberschriftResultat],TH$3),FIND("XX",INDEX(StdDisziplinen[TabÜberschriftResultat],TH$3),1),2,Geschlecht[[#This Row],[Geschlecht (Skala)]]))</f>
        <v/>
      </c>
      <c r="TK23" s="596"/>
      <c r="TM23" s="37"/>
      <c r="TN23" s="40"/>
      <c r="TO23" s="587">
        <f>IF(TO$16,IF(TP$16=0.5,MROUND(SchwimmenResultat[[#This Row],[Resultat]],TP$16),ROUND(SchwimmenResultat[[#This Row],[Resultat]],TP$16)),ROUNDDOWN(SchwimmenResultat[[#This Row],[Resultat]],TP$16))</f>
        <v>0</v>
      </c>
      <c r="TP23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3" s="153" t="str">
        <f ca="1">IF(TP23="","",IF(OR(SchwimmenResultat[[#This Row],[Resultat]]=Stammdaten!$AX$22,SchwimmenResultat[[#This Row],[Resultat]]=Stammdaten!$AX$19),Stammdaten!$AX$19,IF(ISNA(INDEX(INDIRECT(TP23),MATCH(SchwimmenGerundet[[#This Row],[Rundung]],INDIRECT(TP23),TP$18))),IF(TP$18=-1,LARGE(INDIRECT(TP23),1),SMALL(INDIRECT(TP23),1)),INDEX(INDIRECT(TP23),MATCH(SchwimmenGerundet[[#This Row],[Rundung]],INDIRECT(TP23),TP$18)))))</f>
        <v/>
      </c>
      <c r="TR23" s="33" t="str">
        <f>IF(OR(TP23="",SchwimmenResultat[[#This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3" s="33"/>
      <c r="TT23" s="36" t="str">
        <f ca="1">IF(OR(TR23="",SchwimmenSkalawert[[#This Row],[Skala-Wert]]=Stammdaten!$AX$19),"",INDEX(INDIRECT(TR23),MATCH(SchwimmenSkalawert[[#This Row],[Skala-Wert]],INDIRECT(TP23),0)))</f>
        <v/>
      </c>
      <c r="TU23" s="36"/>
      <c r="TV23" s="190" t="str">
        <f>IF(ZwölfMinLaufHalleResultat[[#This Row],[Resultat]]=0,"",ZwölfMinLaufHalleResultat[[#This Row],[Resultat]])</f>
        <v/>
      </c>
      <c r="TW23" s="190"/>
      <c r="TX23" s="31" t="str">
        <f ca="1">ZwölfMinLaufHalleSkalawert[[#This Row],[Skala-Wert]]</f>
        <v/>
      </c>
      <c r="TZ23" s="31" t="str">
        <f ca="1">ZwölfMinLaufHalleNote[[#This Row],[Note]]</f>
        <v/>
      </c>
      <c r="UA23" s="31"/>
      <c r="UB23" s="190" t="str">
        <f>IF(ZwölfMinLaufimFreienResultat[[#This Row],[Resultat]]=0,"",ZwölfMinLaufimFreienResultat[[#This Row],[Resultat]])</f>
        <v/>
      </c>
      <c r="UC23" s="190"/>
      <c r="UD23" s="192" t="str">
        <f ca="1">ZwölfMinLaufimFreienSkalawert[[#This Row],[Skala-Wert]]</f>
        <v/>
      </c>
      <c r="UF23" s="31" t="str">
        <f ca="1">ZwölfMinLaufimFreienNote[[#This Row],[Note]]</f>
        <v/>
      </c>
      <c r="UG23" s="31"/>
      <c r="UH23" s="597"/>
      <c r="UI23" s="190"/>
      <c r="UJ23" s="587">
        <f>IF(UJ$16,IF(UK$16=0.5,MROUND(BeweglichkeitResultat[[#This Row],[Resultat]],UK$16),ROUND(BeweglichkeitResultat[[#This Row],[Resultat]],UK$16)),ROUNDDOWN(BeweglichkeitResultat[[#This Row],[Resultat]],UK$16))</f>
        <v>0</v>
      </c>
      <c r="UK23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3" s="192" t="str">
        <f ca="1">IF(UK23="","",IF(OR(BeweglichkeitResultat[[#This Row],[Resultat]]=Stammdaten!$AX$22,BeweglichkeitResultat[[#This Row],[Resultat]]=Stammdaten!$AX$19),Stammdaten!$AX$19,IF(ISNA(INDEX(INDIRECT(UK23),MATCH(BeweglichkeitGerundet[[#This Row],[Rundung]],INDIRECT(UK23),UK$18))),IF(UK$18=-1,LARGE(INDIRECT(UK23),1),SMALL(INDIRECT(UK23),1)),INDEX(INDIRECT(UK23),MATCH(BeweglichkeitGerundet[[#This Row],[Rundung]],INDIRECT(UK23),UK$18)))))</f>
        <v/>
      </c>
      <c r="UN23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3" s="36" t="str">
        <f ca="1">IF(OR(UK23="",BeweglichkeitSkalawert[[#This Row],[Skala-Wert]]=Stammdaten!$AX$19),"",INDEX(INDIRECT(UN23),MATCH(BeweglichkeitSkalawert[[#This Row],[Skala-Wert]],INDIRECT(UK23),0)))</f>
        <v/>
      </c>
      <c r="UP23" s="31"/>
      <c r="UQ23" s="597"/>
      <c r="UR23" s="190"/>
      <c r="US23" s="587">
        <f>IF(US$16,IF(UT$16=0.5,MROUND(RumpfkraftResultat[[#This Row],[Resultat]],UT$16),ROUND(RumpfkraftResultat[[#This Row],[Resultat]],UT$16)),ROUNDDOWN(RumpfkraftResultat[[#This Row],[Resultat]],UT$16))</f>
        <v>0</v>
      </c>
      <c r="UT23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3" s="192" t="str">
        <f ca="1">IF(UT23="","",IF(OR(RumpfkraftResultat[[#This Row],[Resultat]]=Stammdaten!$AX$22,RumpfkraftResultat[[#This Row],[Resultat]]=Stammdaten!$AX$19),Stammdaten!$AX$19,IF(ISNA(INDEX(INDIRECT(UT23),MATCH(RumpfkraftGerundet[[#This Row],[Rundung]],INDIRECT(UT23),UT$18))),IF(UT$18=-1,LARGE(INDIRECT(UT23),1),SMALL(INDIRECT(UT23),1)),INDEX(INDIRECT(UT23),MATCH(RumpfkraftGerundet[[#This Row],[Rundung]],INDIRECT(UT23),UT$18)))))</f>
        <v/>
      </c>
      <c r="UW23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3" s="36" t="str">
        <f ca="1">IF(OR(UT23="",RumpfkraftSkalawert[[#This Row],[Skala-Wert]]=Stammdaten!$AX$19),"",INDEX(INDIRECT(UW23),MATCH(RumpfkraftSkalawert[[#This Row],[Skala-Wert]],INDIRECT(UT23),0)))</f>
        <v/>
      </c>
      <c r="UY23" s="31"/>
      <c r="UZ23" s="190" t="str">
        <f>IF(SechzigmLaufResultat[[#This Row],[Resultat]]=0,"",SechzigmLaufResultat[[#This Row],[Resultat]])</f>
        <v/>
      </c>
      <c r="VA23" s="190"/>
      <c r="VB23" s="45" t="str">
        <f ca="1">SechzigmLaufSkalawert[[#This Row],[Skala-Wert]]</f>
        <v/>
      </c>
      <c r="VD23" s="31" t="str">
        <f ca="1">SechzigmLaufNote[[#This Row],[Note]]</f>
        <v/>
      </c>
      <c r="VE23" s="31"/>
      <c r="VF23" s="190" t="str">
        <f>IF(AchtzigmLaufResultat[[#This Row],[Resultat]]=0,"",AchtzigmLaufResultat[[#This Row],[Resultat]])</f>
        <v/>
      </c>
      <c r="VG23" s="190"/>
      <c r="VH23" s="45" t="str">
        <f ca="1">AchtzigmLaufSkalawert[[#This Row],[Skala-Wert]]</f>
        <v/>
      </c>
      <c r="VJ23" s="31" t="str">
        <f ca="1">AchtzigmLaufNote[[#This Row],[Note]]</f>
        <v/>
      </c>
      <c r="VK23" s="31"/>
      <c r="VL23" s="37"/>
      <c r="VM23" s="190"/>
      <c r="VN23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3" s="191" t="str">
        <f>IF(OR(Geschlecht[[#This Row],[Geschlecht (Skala)]]="",VL$16=""),"",MID(Geschlecht[[#This Row],[Geschlecht (Skala)]],1,1)&amp;MID(VL$16,1,1))</f>
        <v/>
      </c>
      <c r="VP23" s="190" t="str">
        <f>IF(OR(VO23="",KonditionsparcoursResultat[[#This Row],[Resultat]]=""),"",REPLACE(INDEX(StdDisziplinen[TabÜberschriftResultat],VL$3),FIND("X",INDEX(StdDisziplinen[TabÜberschriftResultat],VL$3),1),2,VO23))</f>
        <v/>
      </c>
      <c r="VQ23" s="192" t="str">
        <f ca="1">IF(VP23="","",IF(OR(KonditionsparcoursResultat[[#This Row],[Resultat]]=Stammdaten!$AX$22,KonditionsparcoursResultat[[#This Row],[Resultat]]=Stammdaten!$AX$19),Stammdaten!$AX$19,IF(ISNA(INDEX(INDIRECT(VP23),MATCH(KonditionsparcoursGerundet[[#This Row],[Rundung]],INDIRECT(VP23),VP$18))),IF(VP$18=-1,LARGE(INDIRECT(VP23),1),SMALL(INDIRECT(VP23),1)),INDEX(INDIRECT(VP23),MATCH(KonditionsparcoursGerundet[[#This Row],[Rundung]],INDIRECT(VP23),VP$18)))))</f>
        <v/>
      </c>
      <c r="VS23" s="18" t="str">
        <f ca="1">IF(KonditionsparcoursSkalawert[[#This Row],[Skala-Wert]]="","",REPLACE(INDEX(StdDisziplinen[TabÜberschriftNote],VL$3),FIND("X",INDEX(StdDisziplinen[TabÜberschriftNote],VL$3),1),2,VO23))</f>
        <v/>
      </c>
      <c r="VT23" s="31" t="str">
        <f ca="1">IF(OR(VS23="",KonditionsparcoursSkalawert[[#This Row],[Skala-Wert]]=Stammdaten!$AX$19),"",INDEX(INDIRECT(VS23),MATCH(KonditionsparcoursSkalawert[[#This Row],[Skala-Wert]],INDIRECT(VP23),0)))</f>
        <v/>
      </c>
      <c r="VU23" s="22"/>
    </row>
    <row r="24" spans="1:593" x14ac:dyDescent="0.3">
      <c r="A24" s="30">
        <v>6</v>
      </c>
      <c r="B24" s="589"/>
      <c r="C24" s="589"/>
      <c r="E24" s="591"/>
      <c r="G24" s="37"/>
      <c r="H24" s="190"/>
      <c r="I24" s="154">
        <f>IF(I$16,IF(J$16=0.5,MROUND(SechzigmLaufResultat[[#This Row],[Resultat]],J$16),ROUND(SechzigmLaufResultat[[#This Row],[Resultat]],J$16)),ROUNDDOWN(SechzigmLaufResultat[[#This Row],[Resultat]],J$16))</f>
        <v>0</v>
      </c>
      <c r="J24" s="191" t="str">
        <f>IF(OR(Geschlecht[[#This Row],[Geschlecht (Skala)]]="",G$16=""),"",MID(Geschlecht[[#This Row],[Geschlecht (Skala)]],1,1)&amp;MID(G$16,1,1))</f>
        <v/>
      </c>
      <c r="K24" s="190" t="str">
        <f>IF(OR(J24="",SechzigmLaufResultat[[#This Row],[Resultat]]=""),"",REPLACE(INDEX(StdDisziplinen[TabÜberschriftResultat],G$3),FIND("X",INDEX(StdDisziplinen[TabÜberschriftResultat],G$3),1),2,J24))</f>
        <v/>
      </c>
      <c r="L24" s="45" t="str">
        <f ca="1">IF(K24="","",IF(OR(SechzigmLaufResultat[[#This Row],[Resultat]]=Stammdaten!$AX$22,SechzigmLaufResultat[[#This Row],[Resultat]]=Stammdaten!$AX$19),Stammdaten!$AX$19,IF(ISNA(INDEX(INDIRECT(K24),MATCH(SechzigmLaufGerundet[[#This Row],[Rundung]],INDIRECT(K24),K$18))),IF(K$18=-1,LARGE(INDIRECT(K24),1),SMALL(INDIRECT(K24),1)),INDEX(INDIRECT(K24),MATCH(SechzigmLaufGerundet[[#This Row],[Rundung]],INDIRECT(K24),K$18)))))</f>
        <v/>
      </c>
      <c r="N24" s="18" t="str">
        <f ca="1">IF(SechzigmLaufSkalawert[[#This Row],[Skala-Wert]]="","",REPLACE(INDEX(StdDisziplinen[TabÜberschriftNote],G$3),FIND("X",INDEX(StdDisziplinen[TabÜberschriftNote],G$3),1),2,J24))</f>
        <v/>
      </c>
      <c r="O24" s="31" t="str">
        <f ca="1">IF(OR(N24="",SechzigmLaufSkalawert[[#This Row],[Skala-Wert]]=Stammdaten!$AX$19),"",INDEX(INDIRECT(N24),MATCH(SechzigmLaufSkalawert[[#This Row],[Skala-Wert]],INDIRECT(K24),0)))</f>
        <v/>
      </c>
      <c r="P24" s="31"/>
      <c r="Q24" s="37"/>
      <c r="R24" s="190"/>
      <c r="S24" s="154">
        <f>IF(S$16,IF(T$16=0.5,MROUND(AchtzigmLaufResultat[[#This Row],[Resultat]],T$16),ROUND(AchtzigmLaufResultat[[#This Row],[Resultat]],T$16)),ROUNDDOWN(AchtzigmLaufResultat[[#This Row],[Resultat]],T$16))</f>
        <v>0</v>
      </c>
      <c r="T24" s="191" t="str">
        <f>IF(OR(Geschlecht[[#This Row],[Geschlecht (Skala)]]="",Q$16=""),"",MID(Geschlecht[[#This Row],[Geschlecht (Skala)]],1,1)&amp;MID(Q$16,1,1))</f>
        <v/>
      </c>
      <c r="U24" s="190" t="str">
        <f>IF(OR(T24="",AchtzigmLaufResultat[[#This Row],[Resultat]]=""),"",REPLACE(INDEX(StdDisziplinen[TabÜberschriftResultat],Q$3),FIND("X",INDEX(StdDisziplinen[TabÜberschriftResultat],Q$3),1),2,T24))</f>
        <v/>
      </c>
      <c r="V24" s="45" t="str">
        <f ca="1">IF(U24="","",IF(OR(AchtzigmLaufResultat[[#This Row],[Resultat]]=Stammdaten!$AX$22,AchtzigmLaufResultat[[#This Row],[Resultat]]=Stammdaten!$AX$19),Stammdaten!$AX$19,IF(ISNA(INDEX(INDIRECT(U24),MATCH(AchtzigmLaufGerundet[[#This Row],[Rundung]],INDIRECT(U24),U$18))),IF(U$18=-1,LARGE(INDIRECT(U24),1),SMALL(INDIRECT(U24),1)),INDEX(INDIRECT(U24),MATCH(AchtzigmLaufGerundet[[#This Row],[Rundung]],INDIRECT(U24),U$18)))))</f>
        <v/>
      </c>
      <c r="X24" s="18" t="str">
        <f ca="1">IF(AchtzigmLaufSkalawert[[#This Row],[Skala-Wert]]="","",REPLACE(INDEX(StdDisziplinen[TabÜberschriftNote],Q$3),FIND("X",INDEX(StdDisziplinen[TabÜberschriftNote],Q$3),1),2,T24))</f>
        <v/>
      </c>
      <c r="Y24" s="31" t="str">
        <f ca="1">IF(OR(X24="",AchtzigmLaufSkalawert[[#This Row],[Skala-Wert]]=Stammdaten!$AX$19),"",INDEX(INDIRECT(X24),MATCH(AchtzigmLaufSkalawert[[#This Row],[Skala-Wert]],INDIRECT(U24),0)))</f>
        <v/>
      </c>
      <c r="Z24" s="31"/>
      <c r="AA24" s="37"/>
      <c r="AB24" s="190"/>
      <c r="AC24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4" s="191" t="str">
        <f>IF(OR(Geschlecht[[#This Row],[Geschlecht (Skala)]]="",AA$16=""),"",MID(Geschlecht[[#This Row],[Geschlecht (Skala)]],1,1)&amp;MID(AA$16,1,1))</f>
        <v/>
      </c>
      <c r="AE24" s="190" t="str">
        <f>IF(OR(AD24="",ZwölfMinLaufHalleResultat[[#This Row],[Resultat]]=""),"",REPLACE(INDEX(StdDisziplinen[TabÜberschriftResultat],AA$3),FIND("X",INDEX(StdDisziplinen[TabÜberschriftResultat],AA$3),1),2,AD24))</f>
        <v/>
      </c>
      <c r="AF24" s="31" t="str">
        <f ca="1">IF(AE24="","",IF(OR(ZwölfMinLaufHalleResultat[[#This Row],[Resultat]]=Stammdaten!$AX$22,ZwölfMinLaufHalleResultat[[#This Row],[Resultat]]=Stammdaten!$AX$19),Stammdaten!$AX$19,IF(ISNA(INDEX(INDIRECT(AE24),MATCH(ZwölfMinLaufHalleGerundet[[#This Row],[Rundung]],INDIRECT(AE24),AE$18))),IF(AE$18=-1,LARGE(INDIRECT(AE24),1),SMALL(INDIRECT(AE24),1)),INDEX(INDIRECT(AE24),MATCH(ZwölfMinLaufHalleGerundet[[#This Row],[Rundung]],INDIRECT(AE24),AE$18)))))</f>
        <v/>
      </c>
      <c r="AH24" s="18" t="str">
        <f ca="1">IF(ZwölfMinLaufHalleSkalawert[[#This Row],[Skala-Wert]]="","",REPLACE(INDEX(StdDisziplinen[TabÜberschriftNote],AA$3),FIND("X",INDEX(StdDisziplinen[TabÜberschriftNote],AA$3),1),2,AD24))</f>
        <v/>
      </c>
      <c r="AI24" s="31" t="str">
        <f ca="1">IF(OR(AH24="",ZwölfMinLaufHalleSkalawert[[#This Row],[Skala-Wert]]=Stammdaten!$AX$19),"",INDEX(INDIRECT(AH24),MATCH(ZwölfMinLaufHalleSkalawert[[#This Row],[Skala-Wert]],INDIRECT(AE24),0)))</f>
        <v/>
      </c>
      <c r="AJ24" s="31"/>
      <c r="AK24" s="597"/>
      <c r="AL24" s="190"/>
      <c r="AM24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4" s="191" t="str">
        <f>IF(OR(Geschlecht[[#This Row],[Geschlecht (Skala)]]="",AK$16=""),"",MID(Geschlecht[[#This Row],[Geschlecht (Skala)]],1,1)&amp;MID(AK$16,1,1))</f>
        <v/>
      </c>
      <c r="AO24" s="190" t="str">
        <f>IF(OR(AN24="",ZwölfMinLaufimFreienResultat[[#This Row],[Resultat]]=""),"",REPLACE(INDEX(StdDisziplinen[TabÜberschriftResultat],AK$3),FIND("X",INDEX(StdDisziplinen[TabÜberschriftResultat],AK$3),1),2,AN24))</f>
        <v/>
      </c>
      <c r="AP24" s="192" t="str">
        <f ca="1">IF(AO24="","",IF(OR(ZwölfMinLaufimFreienResultat[[#This Row],[Resultat]]=Stammdaten!$AX$22,ZwölfMinLaufimFreienResultat[[#This Row],[Resultat]]=Stammdaten!$AX$19),Stammdaten!$AX$19,IF(ISNA(INDEX(INDIRECT(AO24),MATCH(ZwölfMinLaufimFreienGerundet[[#This Row],[Rundung]],INDIRECT(AO24),AO$18))),IF(AO$18=-1,LARGE(INDIRECT(AO24),1),SMALL(INDIRECT(AO24),1)),INDEX(INDIRECT(AO24),MATCH(ZwölfMinLaufimFreienGerundet[[#This Row],[Rundung]],INDIRECT(AO24),AO$18)))))</f>
        <v/>
      </c>
      <c r="AR24" s="18" t="str">
        <f ca="1">IF(ZwölfMinLaufimFreienSkalawert[[#This Row],[Skala-Wert]]="","",REPLACE(INDEX(StdDisziplinen[TabÜberschriftNote],AK$3),FIND("X",INDEX(StdDisziplinen[TabÜberschriftNote],AK$3),1),2,AN24))</f>
        <v/>
      </c>
      <c r="AS24" s="31" t="str">
        <f ca="1">IF(OR(AR24="",ZwölfMinLaufimFreienSkalawert[[#This Row],[Skala-Wert]]=Stammdaten!$AX$19),"",INDEX(INDIRECT(AR24),MATCH(ZwölfMinLaufimFreienSkalawert[[#This Row],[Skala-Wert]],INDIRECT(AO24),0)))</f>
        <v/>
      </c>
      <c r="AT24" s="31"/>
      <c r="AU24" s="597"/>
      <c r="AV24" s="190"/>
      <c r="AW24" s="587">
        <f>IF(AW$16,IF(AX$16=0.5,MROUND(HochsprungResultat[[#This Row],[Resultat]],AX$16),ROUND(HochsprungResultat[[#This Row],[Resultat]],AX$16)),ROUNDDOWN(HochsprungResultat[[#This Row],[Resultat]],AX$16))</f>
        <v>0</v>
      </c>
      <c r="AX24" s="191" t="str">
        <f>IF(OR(Geschlecht[[#This Row],[Geschlecht (Skala)]]="",AU$16=""),"",MID(Geschlecht[[#This Row],[Geschlecht (Skala)]],1,1)&amp;MID(AU$16,1,1))</f>
        <v/>
      </c>
      <c r="AY24" s="190" t="str">
        <f>IF(OR(AX24="",HochsprungResultat[[#This Row],[Resultat]]=""),"",REPLACE(INDEX(StdDisziplinen[TabÜberschriftResultat],AU$3),FIND("X",INDEX(StdDisziplinen[TabÜberschriftResultat],AU$3),1),2,AX24))</f>
        <v/>
      </c>
      <c r="AZ24" s="192" t="str">
        <f ca="1">IF(AY24="","",IF(OR(HochsprungResultat[[#This Row],[Resultat]]=Stammdaten!$AX$22,HochsprungResultat[[#This Row],[Resultat]]=Stammdaten!$AX$19),Stammdaten!$AX$19,IF(ISNA(INDEX(INDIRECT(AY24),MATCH(HochsprungGerundet[[#This Row],[Rundung]],INDIRECT(AY24),AY$18))),IF(AY$18=-1,LARGE(INDIRECT(AY24),1),SMALL(INDIRECT(AY24),1)),INDEX(INDIRECT(AY24),MATCH(HochsprungGerundet[[#This Row],[Rundung]],INDIRECT(AY24),AY$18)))))</f>
        <v/>
      </c>
      <c r="BB24" s="18" t="str">
        <f ca="1">IF(HochsprungSkalawert[[#This Row],[Skala-Wert]]="","",REPLACE(INDEX(StdDisziplinen[TabÜberschriftNote],AU$3),FIND("X",INDEX(StdDisziplinen[TabÜberschriftNote],AU$3),1),2,AX24))</f>
        <v/>
      </c>
      <c r="BC24" s="31" t="str">
        <f ca="1">IF(OR(BB24="",HochsprungSkalawert[[#This Row],[Skala-Wert]]=Stammdaten!$AX$19),"",INDEX(INDIRECT(BB24),MATCH(HochsprungSkalawert[[#This Row],[Skala-Wert]],INDIRECT(AY24),0)))</f>
        <v/>
      </c>
      <c r="BD24" s="31"/>
      <c r="BE24" s="597"/>
      <c r="BF24" s="190"/>
      <c r="BG24" s="587">
        <f>IF(BG$16,IF(BH$16=0.5,MROUND(WeitsprungResultat[[#This Row],[Resultat]],BH$16),ROUND(WeitsprungResultat[[#This Row],[Resultat]],BH$16)),ROUNDDOWN(WeitsprungResultat[[#This Row],[Resultat]],BH$16))</f>
        <v>0</v>
      </c>
      <c r="BH24" s="191" t="str">
        <f>IF(OR(Geschlecht[[#This Row],[Geschlecht (Skala)]]="",BE$16=""),"",MID(Geschlecht[[#This Row],[Geschlecht (Skala)]],1,1)&amp;MID(BE$16,1,1))</f>
        <v/>
      </c>
      <c r="BI24" s="190" t="str">
        <f>IF(OR(BH24="",WeitsprungResultat[[#This Row],[Resultat]]=""),"",REPLACE(INDEX(StdDisziplinen[TabÜberschriftResultat],BE$3),FIND("X",INDEX(StdDisziplinen[TabÜberschriftResultat],BE$3),1),2,BH24))</f>
        <v/>
      </c>
      <c r="BJ24" s="192" t="str">
        <f ca="1">IF(BI24="","",IF(OR(WeitsprungResultat[[#This Row],[Resultat]]=Stammdaten!$AX$22,WeitsprungResultat[[#This Row],[Resultat]]=Stammdaten!$AX$19),Stammdaten!$AX$19,IF(ISNA(INDEX(INDIRECT(BI24),MATCH(WeitsprungGerundet[[#This Row],[Rundung]],INDIRECT(BI24),BI$18))),IF(BI$18=-1,LARGE(INDIRECT(BI24),1),SMALL(INDIRECT(BI24),1)),INDEX(INDIRECT(BI24),MATCH(WeitsprungGerundet[[#This Row],[Rundung]],INDIRECT(BI24),BI$18)))))</f>
        <v/>
      </c>
      <c r="BL24" s="18" t="str">
        <f ca="1">IF(WeitsprungSkalawert[[#This Row],[Skala-Wert]]="","",REPLACE(INDEX(StdDisziplinen[TabÜberschriftNote],BE$3),FIND("X",INDEX(StdDisziplinen[TabÜberschriftNote],BE$3),1),2,BH24))</f>
        <v/>
      </c>
      <c r="BM24" s="31" t="str">
        <f ca="1">IF(OR(BL24="",WeitsprungSkalawert[[#This Row],[Skala-Wert]]=Stammdaten!$AX$19),"",INDEX(INDIRECT(BL24),MATCH(WeitsprungSkalawert[[#This Row],[Skala-Wert]],INDIRECT(BI24),0)))</f>
        <v/>
      </c>
      <c r="BN24" s="31"/>
      <c r="BO24" s="37"/>
      <c r="BP24" s="190"/>
      <c r="BQ24" s="154">
        <f>IF(BQ$16,IF(BR$16=0.5,MROUND(BallwurfResultat[[#This Row],[Resultat]],BR$16),ROUND(BallwurfResultat[[#This Row],[Resultat]],BR$16)),ROUNDDOWN(BallwurfResultat[[#This Row],[Resultat]],BR$16))</f>
        <v>0</v>
      </c>
      <c r="BR24" s="191" t="str">
        <f>IF(OR(Geschlecht[[#This Row],[Geschlecht (Skala)]]="",BO$16=""),"",MID(Geschlecht[[#This Row],[Geschlecht (Skala)]],1,1)&amp;MID(BO$16,1,1))</f>
        <v/>
      </c>
      <c r="BS24" s="190" t="str">
        <f>IF(OR(BR24="",BallwurfResultat[[#This Row],[Resultat]]=""),"",REPLACE(INDEX(StdDisziplinen[TabÜberschriftResultat],BO$3),FIND("X",INDEX(StdDisziplinen[TabÜberschriftResultat],BO$3),1),2,BR24))</f>
        <v/>
      </c>
      <c r="BT24" s="45" t="str">
        <f ca="1">IF(BS24="","",IF(OR(BallwurfResultat[[#This Row],[Resultat]]=Stammdaten!$AX$22,BallwurfResultat[[#This Row],[Resultat]]=Stammdaten!$AX$19),Stammdaten!$AX$19,IF(ISNA(INDEX(INDIRECT(BS24),MATCH(BallwurfGerundet[[#This Row],[Rundung]],INDIRECT(BS24),BS$18))),IF(BS$18=-1,LARGE(INDIRECT(BS24),1),SMALL(INDIRECT(BS24),1)),INDEX(INDIRECT(BS24),MATCH(BallwurfGerundet[[#This Row],[Rundung]],INDIRECT(BS24),BS$18)))))</f>
        <v/>
      </c>
      <c r="BV24" s="18" t="str">
        <f ca="1">IF(BallwurfSkalawert[[#This Row],[Skala-Wert]]="","",REPLACE(INDEX(StdDisziplinen[TabÜberschriftNote],BO$3),FIND("X",INDEX(StdDisziplinen[TabÜberschriftNote],BO$3),1),2,BR24))</f>
        <v/>
      </c>
      <c r="BW24" s="31" t="str">
        <f ca="1">IF(OR(BV24="",BallwurfSkalawert[[#This Row],[Skala-Wert]]=Stammdaten!$AX$19),"",INDEX(INDIRECT(BV24),MATCH(BallwurfSkalawert[[#This Row],[Skala-Wert]],INDIRECT(BS24),0)))</f>
        <v/>
      </c>
      <c r="BX24" s="31"/>
      <c r="BY24" s="598"/>
      <c r="BZ24" s="190"/>
      <c r="CA24" s="154">
        <f>IF(CA$16,IF(CB$16=0.5,MROUND(KugelstossenResultat[[#This Row],[Resultat]],CB$16),ROUND(KugelstossenResultat[[#This Row],[Resultat]],CB$16)),ROUNDDOWN(KugelstossenResultat[[#This Row],[Resultat]],CB$16))</f>
        <v>0</v>
      </c>
      <c r="CB24" s="191" t="str">
        <f>IF(OR(Geschlecht[[#This Row],[Geschlecht (Skala)]]="",BY$16=""),"",MID(Geschlecht[[#This Row],[Geschlecht (Skala)]],1,1)&amp;MID(BY$16,1,1))</f>
        <v/>
      </c>
      <c r="CC24" s="190" t="str">
        <f>IF(OR(CB24="",KugelstossenResultat[[#This Row],[Resultat]]=""),"",REPLACE(INDEX(StdDisziplinen[TabÜberschriftResultat],BY$3),FIND("X",INDEX(StdDisziplinen[TabÜberschriftResultat],BY$3),1),2,CB24))</f>
        <v/>
      </c>
      <c r="CD24" s="45" t="str">
        <f ca="1">IF(CC24="","",IF(OR(KugelstossenResultat[[#This Row],[Resultat]]=Stammdaten!$AX$22,KugelstossenResultat[[#This Row],[Resultat]]=Stammdaten!$AX$19),Stammdaten!$AX$19,IF(ISNA(INDEX(INDIRECT(CC24),MATCH(KugelstossenGerundet[[#This Row],[Rundung]],INDIRECT(CC24),CC$18))),IF(CC$18=-1,LARGE(INDIRECT(CC24),1),SMALL(INDIRECT(CC24),1)),INDEX(INDIRECT(CC24),MATCH(KugelstossenGerundet[[#This Row],[Rundung]],INDIRECT(CC24),CC$18)))))</f>
        <v/>
      </c>
      <c r="CF24" s="18" t="str">
        <f ca="1">IF(KugelstossenSkalawert[[#This Row],[Skala-Wert]]="","",REPLACE(INDEX(StdDisziplinen[TabÜberschriftNote],BY$3),FIND("X",INDEX(StdDisziplinen[TabÜberschriftNote],BY$3),1),2,CB24))</f>
        <v/>
      </c>
      <c r="CG24" s="31" t="str">
        <f ca="1">IF(OR(CF24="",KugelstossenSkalawert[[#This Row],[Skala-Wert]]=Stammdaten!$AX$19),"",INDEX(INDIRECT(CF24),MATCH(KugelstossenSkalawert[[#This Row],[Skala-Wert]],INDIRECT(CC24),0)))</f>
        <v/>
      </c>
      <c r="CH24" s="31"/>
      <c r="CI24" s="37"/>
      <c r="CJ24" s="190"/>
      <c r="CK24" s="154">
        <f>IF(CK$16,IF(CL$16=0.5,MROUND(SpeerwurfResultat[[#This Row],[Resultat]],CL$16),ROUND(SpeerwurfResultat[[#This Row],[Resultat]],CL$16)),ROUNDDOWN(SpeerwurfResultat[[#This Row],[Resultat]],CL$16))</f>
        <v>0</v>
      </c>
      <c r="CL24" s="191" t="str">
        <f>IF(OR(Geschlecht[[#This Row],[Geschlecht (Skala)]]="",CI$16=""),"",MID(Geschlecht[[#This Row],[Geschlecht (Skala)]],1,1)&amp;MID(CI$16,1,1))</f>
        <v/>
      </c>
      <c r="CM24" s="190" t="str">
        <f>IF(OR(CL24="",SpeerwurfResultat[[#This Row],[Resultat]]=""),"",REPLACE(INDEX(StdDisziplinen[TabÜberschriftResultat],CI$3),FIND("X",INDEX(StdDisziplinen[TabÜberschriftResultat],CI$3),1),2,CL24))</f>
        <v/>
      </c>
      <c r="CN24" s="45" t="str">
        <f ca="1">IF(CM24="","",IF(OR(SpeerwurfResultat[[#This Row],[Resultat]]=Stammdaten!$AX$22,SpeerwurfResultat[[#This Row],[Resultat]]=Stammdaten!$AX$19),Stammdaten!$AX$19,IF(ISNA(INDEX(INDIRECT(CM24),MATCH(SpeerwurfGerundet[[#This Row],[Rundung]],INDIRECT(CM24),CM$18))),IF(CM$18=-1,LARGE(INDIRECT(CM24),1),SMALL(INDIRECT(CM24),1)),INDEX(INDIRECT(CM24),MATCH(SpeerwurfGerundet[[#This Row],[Rundung]],INDIRECT(CM24),CM$18)))))</f>
        <v/>
      </c>
      <c r="CP24" s="18" t="str">
        <f ca="1">IF(SpeerwurfSkalawert[[#This Row],[Skala-Wert]]="","",REPLACE(INDEX(StdDisziplinen[TabÜberschriftNote],CI$3),FIND("X",INDEX(StdDisziplinen[TabÜberschriftNote],CI$3),1),2,CL24))</f>
        <v/>
      </c>
      <c r="CQ24" s="31" t="str">
        <f ca="1">IF(OR(CP24="",SpeerwurfSkalawert[[#This Row],[Skala-Wert]]=Stammdaten!$AX$19),"",INDEX(INDIRECT(CP24),MATCH(SpeerwurfSkalawert[[#This Row],[Skala-Wert]],INDIRECT(CM24),0)))</f>
        <v/>
      </c>
      <c r="CR24" s="31"/>
      <c r="CS24" s="31" t="str">
        <f t="shared" ca="1" si="50"/>
        <v/>
      </c>
      <c r="CT24" s="31" t="str">
        <f t="shared" ca="1" si="50"/>
        <v/>
      </c>
      <c r="CU24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Row],[Skala-Wert]])&gt;0,MAX(CS24:CT24),99))</f>
        <v>Keine Note</v>
      </c>
      <c r="CV24" s="202" t="str">
        <f t="shared" ca="1" si="51"/>
        <v/>
      </c>
      <c r="CW24" s="202" t="str">
        <f ca="1">IF(CV24=$A$2,CS$10&amp;Stammdaten!$AX$25,IF(CU24=INDEX(StdFehler[],3),CS$10&amp;Stammdaten!$AX$27,INDEX(INDIRECT($B$4),MATCH(CV24,INDIRECT($B$5),0))))</f>
        <v>Sprintdisziplinen nicht durchgeführt</v>
      </c>
      <c r="CX24" s="202" t="str">
        <f ca="1">IFERROR(INDEX(INDIRECT(CX$12),MATCH(CV24,StdDisziplinen[ID],0)),"")</f>
        <v/>
      </c>
      <c r="CY24" s="202" t="e">
        <f t="shared" ca="1" si="52"/>
        <v>#N/A</v>
      </c>
      <c r="CZ24" s="202" t="e">
        <f t="shared" ca="1" si="53"/>
        <v>#N/A</v>
      </c>
      <c r="DA24" s="98" t="str">
        <f t="shared" ca="1" si="223"/>
        <v/>
      </c>
      <c r="DB24" s="202" t="e">
        <f t="shared" ca="1" si="54"/>
        <v>#N/A</v>
      </c>
      <c r="DC24" s="202" t="str">
        <f t="shared" ca="1" si="55"/>
        <v/>
      </c>
      <c r="DD24" s="31" t="str">
        <f t="shared" ca="1" si="56"/>
        <v/>
      </c>
      <c r="DE24" s="31" t="str">
        <f t="shared" ca="1" si="56"/>
        <v/>
      </c>
      <c r="DF24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Row],[Skala-Wert]])&gt;0,MAX(DD24:DE24),99))</f>
        <v>Keine Note</v>
      </c>
      <c r="DG24" s="202" t="str">
        <f t="shared" ca="1" si="57"/>
        <v/>
      </c>
      <c r="DH24" s="202" t="str">
        <f ca="1">IF(DG24=$A$2,DD$10&amp;Stammdaten!$AX$25,IF(DF24=INDEX(StdFehler[],3),DD$10&amp;Stammdaten!$AX$27,INDEX(INDIRECT($B$4),MATCH(DG24,INDIRECT($B$5),0))))</f>
        <v>Ausdauerdisziplinen nicht durchgeführt</v>
      </c>
      <c r="DI24" s="202" t="str">
        <f ca="1">IFERROR(INDEX(INDIRECT(DI$12),MATCH(DG24,StdDisziplinen[ID],0)),"")</f>
        <v/>
      </c>
      <c r="DJ24" s="202" t="e">
        <f t="shared" ca="1" si="58"/>
        <v>#N/A</v>
      </c>
      <c r="DK24" s="202" t="e">
        <f t="shared" ca="1" si="59"/>
        <v>#N/A</v>
      </c>
      <c r="DL24" s="96" t="str">
        <f t="shared" ca="1" si="60"/>
        <v/>
      </c>
      <c r="DM24" s="202" t="e">
        <f t="shared" ca="1" si="61"/>
        <v>#N/A</v>
      </c>
      <c r="DN24" s="202" t="str">
        <f t="shared" ca="1" si="62"/>
        <v/>
      </c>
      <c r="DO24" s="31" t="str">
        <f t="shared" ca="1" si="63"/>
        <v/>
      </c>
      <c r="DP24" s="31" t="str">
        <f t="shared" ca="1" si="63"/>
        <v/>
      </c>
      <c r="DQ24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Row],[Skala-Wert]])&gt;0,MAX(DO24:DP24),99))</f>
        <v>Keine Note</v>
      </c>
      <c r="DR24" s="202" t="str">
        <f t="shared" ca="1" si="64"/>
        <v/>
      </c>
      <c r="DS24" s="202" t="str">
        <f ca="1">IF(DR24=$A$2,DO$10&amp;Stammdaten!$AX$25,IF(DQ24=INDEX(StdFehler[],3),DO$10&amp;Stammdaten!$AX$27,INDEX(INDIRECT($B$4),MATCH(DR24,INDIRECT($B$5),0))))</f>
        <v>Sprungdisziplinen nicht durchgeführt</v>
      </c>
      <c r="DT24" s="202" t="str">
        <f ca="1">IFERROR(INDEX(INDIRECT(DT$12),MATCH(DR24,StdDisziplinen[ID],0)),"")</f>
        <v/>
      </c>
      <c r="DU24" s="202" t="e">
        <f t="shared" ca="1" si="65"/>
        <v>#N/A</v>
      </c>
      <c r="DV24" s="202" t="e">
        <f t="shared" ca="1" si="66"/>
        <v>#N/A</v>
      </c>
      <c r="DW24" s="202" t="str">
        <f t="shared" ca="1" si="67"/>
        <v/>
      </c>
      <c r="DX24" s="202" t="e">
        <f t="shared" ca="1" si="68"/>
        <v>#N/A</v>
      </c>
      <c r="DY24" s="202" t="str">
        <f t="shared" ca="1" si="69"/>
        <v/>
      </c>
      <c r="DZ24" s="31" t="str">
        <f ca="1">IF(BallwurfSkalawert[[#This Row],[Skala-Wert]]=$A$3,$A$2,IF(ISNUMBER(BallwurfSkalawert[[#This Row],[Skala-Wert]]),BallwurfNote[[#This Row],[Note]],"!"))</f>
        <v>!</v>
      </c>
      <c r="EA24" s="31" t="str">
        <f ca="1">IF(KugelstossenSkalawert[[#This Row],[Skala-Wert]]=$A$3,$A$2,IF(ISNUMBER(KugelstossenSkalawert[[#This Row],[Skala-Wert]]),KugelstossenNote[[#This Row],[Note]],"!"))</f>
        <v>!</v>
      </c>
      <c r="EB24" s="31" t="str">
        <f ca="1">IF(SpeerwurfSkalawert[[#This Row],[Skala-Wert]]=$A$3,$A$2,IF(ISNUMBER(SpeerwurfSkalawert[[#This Row],[Skala-Wert]]),SpeerwurfNote[[#This Row],[Note]],"!"))</f>
        <v>!</v>
      </c>
      <c r="EC24" s="95" t="str">
        <f ca="1">IF(ED24&gt;0,MAX(DZ24:EB24),IF(EE24&gt;0,99,INDEX(StdFehler[StdFehler],3)))</f>
        <v>Keine Note</v>
      </c>
      <c r="ED24" s="202">
        <f t="shared" ca="1" si="70"/>
        <v>0</v>
      </c>
      <c r="EE24" s="202">
        <f t="shared" ca="1" si="71"/>
        <v>0</v>
      </c>
      <c r="EF24" s="202" t="str">
        <f t="shared" ca="1" si="72"/>
        <v/>
      </c>
      <c r="EG24" s="202" t="str">
        <f ca="1">IF(EF24=$A$2,DZ$10&amp;Stammdaten!$AX$25,IF(EC24=INDEX(StdFehler[],3),DZ$10&amp;Stammdaten!$AX$27,INDEX(INDIRECT($B$4),MATCH(EF24,INDIRECT($B$5),0))))</f>
        <v>Wurfdisziplinen nicht durchgeführt</v>
      </c>
      <c r="EH24" s="202" t="str">
        <f ca="1">IFERROR(INDEX(INDIRECT(EH$12),MATCH(EF24,StdDisziplinen[ID],0)),"")</f>
        <v/>
      </c>
      <c r="EI24" s="202" t="e">
        <f t="shared" ca="1" si="73"/>
        <v>#N/A</v>
      </c>
      <c r="EJ24" s="202" t="e">
        <f t="shared" ca="1" si="74"/>
        <v>#N/A</v>
      </c>
      <c r="EK24" s="98" t="str">
        <f t="shared" ca="1" si="75"/>
        <v/>
      </c>
      <c r="EL24" s="202" t="e">
        <f t="shared" ca="1" si="76"/>
        <v>#N/A</v>
      </c>
      <c r="EM24" s="202" t="str">
        <f t="shared" ca="1" si="77"/>
        <v/>
      </c>
      <c r="EN24" s="200">
        <f t="shared" ca="1" si="1"/>
        <v>0</v>
      </c>
      <c r="EO24" s="202">
        <f t="shared" ca="1" si="78"/>
        <v>0</v>
      </c>
      <c r="EP24" s="96">
        <f t="shared" ca="1" si="2"/>
        <v>0</v>
      </c>
      <c r="EQ24" s="96">
        <f t="shared" ca="1" si="3"/>
        <v>0</v>
      </c>
      <c r="ER24" s="96">
        <f t="shared" ca="1" si="4"/>
        <v>0</v>
      </c>
      <c r="ES24" s="96">
        <f t="shared" ca="1" si="5"/>
        <v>0</v>
      </c>
      <c r="ET24" s="202">
        <f t="shared" ca="1" si="79"/>
        <v>0</v>
      </c>
      <c r="EU24" s="202" t="str">
        <f ca="1">IF($EO24=$FA$4,Stammdaten!$AX$19,IF(COUNTIF($EP24:$ES24,0)&lt;&gt;0,INDEX(StdFehler[StdFehler],4),ROUND(SUM($ET24/$EN24)/$FC$4,0)*$FC$4))</f>
        <v>Zu wenige Noten</v>
      </c>
      <c r="EV24" s="202" t="str">
        <f t="shared" ca="1" si="6"/>
        <v>Zu wenige Noten</v>
      </c>
      <c r="EW24" s="202" t="str">
        <f t="shared" ca="1" si="80"/>
        <v>Zu wenige Noten</v>
      </c>
      <c r="EX24" s="202" t="str">
        <f t="shared" ca="1" si="80"/>
        <v>Zu wenige Noten</v>
      </c>
      <c r="EY24" s="202" t="str">
        <f t="shared" ca="1" si="80"/>
        <v>Zu wenige Noten</v>
      </c>
      <c r="EZ24" s="202" t="str">
        <f t="shared" ca="1" si="81"/>
        <v>Zu wenige Noten</v>
      </c>
      <c r="FA24" s="202" t="str">
        <f t="shared" ca="1" si="82"/>
        <v>Zu wenige Noten</v>
      </c>
      <c r="FB24" s="31"/>
      <c r="FC24" s="56" t="str">
        <f t="shared" ca="1" si="83"/>
        <v>Zu wenige Noten</v>
      </c>
      <c r="FD24" s="31"/>
      <c r="FE24" s="597"/>
      <c r="FF24" s="190"/>
      <c r="FJ24" s="31"/>
      <c r="FK24" s="597"/>
      <c r="FL24" s="190"/>
      <c r="FP24" s="31"/>
      <c r="FQ24" s="597"/>
      <c r="FR24" s="190"/>
      <c r="FV24" s="31"/>
      <c r="FW24" s="597"/>
      <c r="FX24" s="190"/>
      <c r="GB24" s="31"/>
      <c r="GC24" s="597"/>
      <c r="GD24" s="190"/>
      <c r="GF24" s="154"/>
      <c r="GH24" s="31"/>
      <c r="GI24" s="597"/>
      <c r="GJ24" s="190"/>
      <c r="GN24" s="45"/>
      <c r="GO24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4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4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4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4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4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4" s="202">
        <f t="shared" si="7"/>
        <v>0</v>
      </c>
      <c r="GV24" s="202">
        <f t="shared" si="8"/>
        <v>0</v>
      </c>
      <c r="GW24" s="202">
        <f t="shared" si="84"/>
        <v>0</v>
      </c>
      <c r="GX24" s="200" t="str">
        <f t="shared" si="85"/>
        <v>!</v>
      </c>
      <c r="GY24" s="200" t="str">
        <f t="shared" si="9"/>
        <v>!</v>
      </c>
      <c r="GZ24" s="200" t="str">
        <f t="shared" si="10"/>
        <v>!</v>
      </c>
      <c r="HA24" s="244" t="str">
        <f t="shared" si="86"/>
        <v>nd</v>
      </c>
      <c r="HB24" s="244" t="str">
        <f t="shared" si="87"/>
        <v>nd</v>
      </c>
      <c r="HC24" s="244" t="str">
        <f t="shared" si="88"/>
        <v>nd</v>
      </c>
      <c r="HD24" s="244" t="str">
        <f t="shared" si="89"/>
        <v>nd</v>
      </c>
      <c r="HE24" s="244" t="str">
        <f t="shared" si="90"/>
        <v>nd</v>
      </c>
      <c r="HF24" s="244" t="str">
        <f t="shared" si="91"/>
        <v>nd</v>
      </c>
      <c r="HG24" s="202" t="b">
        <f t="shared" si="92"/>
        <v>0</v>
      </c>
      <c r="HH24" s="202">
        <f t="shared" si="93"/>
        <v>1</v>
      </c>
      <c r="HI24" s="202">
        <f t="shared" si="94"/>
        <v>0</v>
      </c>
      <c r="HJ24" s="200" t="str">
        <f t="shared" si="95"/>
        <v/>
      </c>
      <c r="HK24" s="200" t="str">
        <f t="shared" si="96"/>
        <v/>
      </c>
      <c r="HL24" s="200">
        <f t="shared" si="97"/>
        <v>0</v>
      </c>
      <c r="HM24" s="202" t="str">
        <f t="shared" si="98"/>
        <v/>
      </c>
      <c r="HN24" s="200" t="str">
        <f t="shared" si="99"/>
        <v/>
      </c>
      <c r="HO24" s="200" t="str">
        <f t="shared" si="100"/>
        <v/>
      </c>
      <c r="HP24" s="200" t="str">
        <f t="shared" si="101"/>
        <v/>
      </c>
      <c r="HQ24" s="242" t="str">
        <f t="shared" si="102"/>
        <v/>
      </c>
      <c r="HR24" s="242" t="str">
        <f t="shared" si="103"/>
        <v/>
      </c>
      <c r="HS24" s="242" t="str">
        <f t="shared" si="104"/>
        <v/>
      </c>
      <c r="HT24" s="242" t="str">
        <f t="shared" ca="1" si="105"/>
        <v>Erstes Gerät</v>
      </c>
      <c r="HU24" s="242" t="str">
        <f ca="1">IF(HT24=$HS$12,Stammdaten!$AY$27,IF(HW24=$A$2,TRIM(Stammdaten!$AX$25),""))</f>
        <v>nicht durchgeführt</v>
      </c>
      <c r="HV24" s="242" t="str">
        <f t="shared" ca="1" si="106"/>
        <v/>
      </c>
      <c r="HW24" s="277" t="str">
        <f t="shared" si="11"/>
        <v/>
      </c>
      <c r="HX24" s="202" t="str">
        <f t="shared" si="107"/>
        <v/>
      </c>
      <c r="HY24" s="202" t="str">
        <f t="shared" ca="1" si="108"/>
        <v/>
      </c>
      <c r="HZ24" s="202" t="str">
        <f t="shared" ca="1" si="109"/>
        <v>StdDisziplinen[MaxTextSt]</v>
      </c>
      <c r="IA24" s="202" t="str">
        <f t="shared" ca="1" si="12"/>
        <v/>
      </c>
      <c r="IB24" s="202" t="b">
        <f t="shared" si="110"/>
        <v>0</v>
      </c>
      <c r="IC24" s="202" t="str">
        <f t="shared" si="111"/>
        <v/>
      </c>
      <c r="ID24" s="202" t="str">
        <f t="shared" si="112"/>
        <v/>
      </c>
      <c r="IE24" s="202" t="str">
        <f t="shared" si="113"/>
        <v/>
      </c>
      <c r="IF24" s="202" t="str">
        <f t="shared" si="114"/>
        <v/>
      </c>
      <c r="IG24" s="242" t="str">
        <f t="shared" si="115"/>
        <v/>
      </c>
      <c r="IH24" s="242" t="str">
        <f t="shared" si="116"/>
        <v/>
      </c>
      <c r="II24" s="242" t="str">
        <f t="shared" ca="1" si="13"/>
        <v>Zweites Gerät</v>
      </c>
      <c r="IJ24" s="242" t="str">
        <f ca="1">IF(II24=$IH$12,Stammdaten!$AY$27,IF(IL24=$A$2,TRIM(Stammdaten!$AX$25),""))</f>
        <v>nicht durchgeführt</v>
      </c>
      <c r="IK24" s="242" t="str">
        <f t="shared" ca="1" si="117"/>
        <v/>
      </c>
      <c r="IL24" s="200" t="str">
        <f t="shared" si="14"/>
        <v/>
      </c>
      <c r="IM24" s="202" t="str">
        <f t="shared" si="118"/>
        <v/>
      </c>
      <c r="IN24" s="202" t="str">
        <f t="shared" ca="1" si="119"/>
        <v/>
      </c>
      <c r="IO24" s="202" t="str">
        <f t="shared" ca="1" si="120"/>
        <v>StdDisziplinen[MaxTextSt]</v>
      </c>
      <c r="IP24" s="202" t="str">
        <f t="shared" ca="1" si="121"/>
        <v/>
      </c>
      <c r="IQ24" s="202" t="b">
        <f t="shared" si="122"/>
        <v>0</v>
      </c>
      <c r="IR24" s="242" t="str">
        <f t="shared" ca="1" si="15"/>
        <v>Drittes Gerät</v>
      </c>
      <c r="IS24" s="242" t="str">
        <f ca="1">IF(IR24=$IR$12,MID(Stammdaten!$AX$27,2,LEN(Stammdaten!$AX$27)),IF(IU24=$A$2,TRIM(Stammdaten!$AX$25),""))</f>
        <v>nicht durchgeführt</v>
      </c>
      <c r="IT24" s="242" t="str">
        <f t="shared" ca="1" si="16"/>
        <v/>
      </c>
      <c r="IU24" s="200" t="str">
        <f t="shared" si="17"/>
        <v/>
      </c>
      <c r="IV24" s="202" t="str">
        <f t="shared" si="123"/>
        <v/>
      </c>
      <c r="IW24" s="202" t="str">
        <f t="shared" ca="1" si="124"/>
        <v/>
      </c>
      <c r="IX24" s="202" t="str">
        <f t="shared" ca="1" si="125"/>
        <v>StdDisziplinen[MaxTextSt]</v>
      </c>
      <c r="IY24" s="202" t="str">
        <f t="shared" ca="1" si="18"/>
        <v/>
      </c>
      <c r="IZ24" s="200" t="str">
        <f>IF(NOT(GW24),INDEX(StdFehler[StdFehler],4),IF(COUNTIF(GX24:GZ24,$A$2)&gt;=$IZ$4,$A$3,SUM(GX24:GZ24)))</f>
        <v>Zu wenige Noten</v>
      </c>
      <c r="JA24" s="31"/>
      <c r="JB24" s="587" t="e">
        <f t="shared" si="19"/>
        <v>#VALUE!</v>
      </c>
      <c r="JC24" s="191" t="str">
        <f>IF(OR(Geschlecht[[#This Row],[Geschlecht (Skala)]]="",IZ24=""),"",MID(Geschlecht[[#This Row],[Geschlecht (Skala)]],1,1)&amp;MID($FE$16,1,1))</f>
        <v/>
      </c>
      <c r="JD24" s="190" t="str">
        <f>IF(OR(JC24="",IZ24=""),"",REPLACE(INDEX(StdDisziplinen[TabÜberschriftResultat],$FE$3),FIND("X",INDEX(StdDisziplinen[TabÜberschriftResultat],$FE$3),1),2,JC24))</f>
        <v/>
      </c>
      <c r="JE24" s="192" t="str">
        <f ca="1">IF(OR(JD24="",IZ24=Stammdaten!$AZ$5),"",IF(OR(IZ24=Stammdaten!$AX$22,IZ24=Stammdaten!$AX$19),Stammdaten!$AX$19,IF(ISNA(INDEX(INDIRECT(JD24),MATCH(GeräteturnenGerundet[[#This Row],[Rundung]],INDIRECT(JD24),$JD$16))),IF($JD$16=-1,LARGE(INDIRECT(JD24),1),SMALL(INDIRECT(JD24),1)),INDEX(INDIRECT(JD24),MATCH(GeräteturnenGerundet[[#This Row],[Rundung]],INDIRECT(JD24),$JD$16)))))</f>
        <v/>
      </c>
      <c r="JG24" s="18" t="str">
        <f ca="1">IF(GeräteturnenSkalawert[[#This Row],[Skala-Wert]]="","",REPLACE(INDEX(StdDisziplinen[TabÜberschriftNote],$FE$3),FIND("X",INDEX(StdDisziplinen[TabÜberschriftNote],$FE$3),1),2,JC24))</f>
        <v/>
      </c>
      <c r="JH24" s="45" t="str">
        <f ca="1">IF(OR(JG24="",GeräteturnenSkalawert[[#This Row],[Skala-Wert]]=Stammdaten!$AX$19),"",INDEX(INDIRECT(JG24),MATCH(GeräteturnenSkalawert[[#This Row],[Skala-Wert]],INDIRECT(JD24),0)))</f>
        <v/>
      </c>
      <c r="JI24" s="31"/>
      <c r="JJ24" s="597"/>
      <c r="JK24" s="190"/>
      <c r="JL24" s="587">
        <f>IF(JL$16,IF(JM$16=0.5,MROUND(ParkourResultat[[#This Row],[Resultat]],JM$16),ROUND(ParkourResultat[[#This Row],[Resultat]],JM$16)),ROUNDDOWN(ParkourResultat[[#This Row],[Resultat]],JM$16))</f>
        <v>0</v>
      </c>
      <c r="JM24" s="191" t="str">
        <f>IF(OR(Geschlecht[[#This Row],[Geschlecht (Skala)]]="",JJ$16=""),"",MID(Geschlecht[[#This Row],[Geschlecht (Skala)]],1,1)&amp;MID(JJ$16,1,1))</f>
        <v/>
      </c>
      <c r="JN24" s="190" t="str">
        <f>IF(OR(JM24="",ParkourResultat[[#This Row],[Resultat]]=""),"",REPLACE(INDEX(StdDisziplinen[TabÜberschriftResultat],JJ$3),FIND("X",INDEX(StdDisziplinen[TabÜberschriftResultat],JJ$3),1),2,JM24))</f>
        <v/>
      </c>
      <c r="JO24" s="192" t="str">
        <f ca="1">IF(JN24="","",IF(OR(ParkourResultat[[#This Row],[Resultat]]=Stammdaten!$AX$22,ParkourResultat[[#This Row],[Resultat]]=Stammdaten!$AX$19),Stammdaten!$AX$19,IF(ISNA(INDEX(INDIRECT(JN24),MATCH(ParkourGerundet[[#This Row],[Rundung]],INDIRECT(JN24),JN$18))),IF(JN$18=-1,LARGE(INDIRECT(JN24),1),SMALL(INDIRECT(JN24),1)),INDEX(INDIRECT(JN24),MATCH(ParkourGerundet[[#This Row],[Rundung]],INDIRECT(JN24),JN$18)))))</f>
        <v/>
      </c>
      <c r="JQ24" s="18" t="str">
        <f ca="1">IF(ParkourSkalawert[[#This Row],[Skala-Wert]]="","",REPLACE(INDEX(StdDisziplinen[TabÜberschriftNote],JJ$3),FIND("X",INDEX(StdDisziplinen[TabÜberschriftNote],JJ$3),1),2,JM24))</f>
        <v/>
      </c>
      <c r="JR24" s="31" t="str">
        <f ca="1">IF(OR(JQ24="",ParkourSkalawert[[#This Row],[Skala-Wert]]=Stammdaten!$AX$19),"",INDEX(INDIRECT(JQ24),MATCH(ParkourSkalawert[[#This Row],[Skala-Wert]],INDIRECT(JN24),0)))</f>
        <v/>
      </c>
      <c r="JS24" s="96"/>
      <c r="JT24" s="47" t="str">
        <f ca="1">IF(OR(ISNUMBER(ParkourSkalawert[[#This Row],[Skala-Wert]]),ParkourSkalawert[[#This Row],[Skala-Wert]]=$A$3),INDEX(INDIRECT($JU$1),MATCH($JJ$3,INDIRECT($B$5),0)),"")</f>
        <v/>
      </c>
      <c r="JU24" s="200" t="str">
        <f t="shared" ca="1" si="126"/>
        <v>StdDisziplinen[MaxTextSt]</v>
      </c>
      <c r="JV24" s="200" t="str">
        <f t="shared" ca="1" si="127"/>
        <v/>
      </c>
      <c r="JW24" s="98">
        <f ca="1">IF(GeräteturnenSkalawert[[#This Row],[Skala-Wert]]=$A$3,$A$2,IF(GeräteturnenNote[[#This Row],[Note]]="",0,GeräteturnenNote[[#This Row],[Note]]))</f>
        <v>0</v>
      </c>
      <c r="JX24" s="96">
        <f ca="1">IF(ParkourSkalawert[[#This Row],[Skala-Wert]]=$A$3,$A$2,IF(ParkourNote[[#This Row],[Note]]="",0,ParkourNote[[#This Row],[Note]]))</f>
        <v>0</v>
      </c>
      <c r="JY24" s="200">
        <f t="shared" ca="1" si="128"/>
        <v>0</v>
      </c>
      <c r="JZ24" s="200">
        <f t="shared" ca="1" si="129"/>
        <v>0</v>
      </c>
      <c r="KA24" s="202">
        <f t="shared" ca="1" si="130"/>
        <v>0</v>
      </c>
      <c r="KB24" s="98" t="str">
        <f t="shared" ca="1" si="20"/>
        <v>!</v>
      </c>
      <c r="KC24" s="98" t="str">
        <f t="shared" ca="1" si="21"/>
        <v>!</v>
      </c>
      <c r="KD24" s="202" t="str">
        <f ca="1">IF(NOT(KA24),INDEX(StdFehler[StdFehler],4),IF(JZ24=$KA$12,$A$3,IF(JW24=$A$2,JX24,IF(JX24=$A$2,JW24,CONCATENATE(JW24,", ",JX24)))))</f>
        <v>Zu wenige Noten</v>
      </c>
      <c r="KE24" s="202" t="str">
        <f t="shared" ca="1" si="131"/>
        <v>Zu wenige Noten</v>
      </c>
      <c r="KF24" s="31"/>
      <c r="KG24" s="56" t="str">
        <f ca="1">IF(NOT(KA24),INDEX(StdFehler[StdFehler],4),IF(JZ24=$KA$12,$A$3,ROUND(AVERAGE(KB24:KC24)/$KG$4,0)*$KG$4))</f>
        <v>Zu wenige Noten</v>
      </c>
      <c r="KH24" s="31"/>
      <c r="KI24" s="599"/>
      <c r="KJ24" s="190"/>
      <c r="KK24" s="586">
        <f>IF(KK$16,IF(KL$16=0.5,MROUND(TanzenResultat[[#This Row],[Resultat]],KL$16),ROUND(TanzenResultat[[#This Row],[Resultat]],KL$16)),ROUNDDOWN(TanzenResultat[[#This Row],[Resultat]],KL$16))</f>
        <v>0</v>
      </c>
      <c r="KL24" s="191" t="str">
        <f>IF(OR(Geschlecht[[#This Row],[Geschlecht (Skala)]]="",KI$16=""),"",MID(Geschlecht[[#This Row],[Geschlecht (Skala)]],1,1)&amp;MID(KI$16,1,1))</f>
        <v/>
      </c>
      <c r="KM24" s="190" t="str">
        <f>IF(OR(KL24="",TanzenResultat[[#This Row],[Resultat]]=""),"",REPLACE(INDEX(StdDisziplinen[TabÜberschriftResultat],KI$3),FIND("X",INDEX(StdDisziplinen[TabÜberschriftResultat],KI$3),1),2,KL24))</f>
        <v/>
      </c>
      <c r="KN24" s="31" t="str">
        <f ca="1">IF(KM24="","",IF(OR(TanzenResultat[[#This Row],[Resultat]]=Stammdaten!$AX$22,TanzenResultat[[#This Row],[Resultat]]=Stammdaten!$AX$19),Stammdaten!$AX$19,IF(ISNA(INDEX(INDIRECT(KM24),MATCH(TanzenGerundet[[#This Row],[Rundung]],INDIRECT(KM24),KM$18))),IF(KM$18=-1,LARGE(INDIRECT(KM24),1),SMALL(INDIRECT(KM24),1)),INDEX(INDIRECT(KM24),MATCH(TanzenGerundet[[#This Row],[Rundung]],INDIRECT(KM24),KM$18)))))</f>
        <v/>
      </c>
      <c r="KP24" s="18" t="str">
        <f ca="1">IF(TanzenSkalawert[[#This Row],[Skala-Wert]]="","",REPLACE(INDEX(StdDisziplinen[TabÜberschriftNote],KI$3),FIND("X",INDEX(StdDisziplinen[TabÜberschriftNote],KI$3),1),2,KL24))</f>
        <v/>
      </c>
      <c r="KQ24" s="45" t="str">
        <f ca="1">IF(OR(KP24="",TanzenSkalawert[[#This Row],[Skala-Wert]]=Stammdaten!$AX$19),"",INDEX(INDIRECT(KP24),MATCH(TanzenSkalawert[[#This Row],[Skala-Wert]],INDIRECT(KM24),0)))</f>
        <v/>
      </c>
      <c r="KR24" s="31"/>
      <c r="KS24" s="597"/>
      <c r="KT24" s="190"/>
      <c r="KU24" s="587">
        <f>IF(KU$16,IF(KV$16=0.5,MROUND(RopeSkippingResultat[[#This Row],[Resultat]],KV$16),ROUND(RopeSkippingResultat[[#This Row],[Resultat]],KV$16)),ROUNDDOWN(RopeSkippingResultat[[#This Row],[Resultat]],KV$16))</f>
        <v>0</v>
      </c>
      <c r="KV24" s="191" t="str">
        <f>IF(OR(Geschlecht[[#This Row],[Geschlecht (Skala)]]="",KS$16=""),"",MID(Geschlecht[[#This Row],[Geschlecht (Skala)]],1,1)&amp;MID(KS$16,1,1))</f>
        <v/>
      </c>
      <c r="KW24" s="190" t="str">
        <f>IF(OR(KV24="",RopeSkippingResultat[[#This Row],[Resultat]]=""),"",REPLACE(INDEX(StdDisziplinen[TabÜberschriftResultat],KS$3),FIND("X",INDEX(StdDisziplinen[TabÜberschriftResultat],KS$3),1),2,KV24))</f>
        <v/>
      </c>
      <c r="KX24" s="192" t="str">
        <f ca="1">IF(KW24="","",IF(OR(RopeSkippingResultat[[#This Row],[Resultat]]=Stammdaten!$AX$22,RopeSkippingResultat[[#This Row],[Resultat]]=Stammdaten!$AX$19),Stammdaten!$AX$19,IF(ISNA(INDEX(INDIRECT(KW24),MATCH(RopeSkippingGerundet[[#This Row],[Rundung]],INDIRECT(KW24),KW$18))),IF(KW$18=-1,LARGE(INDIRECT(KW24),1),SMALL(INDIRECT(KW24),1)),INDEX(INDIRECT(KW24),MATCH(RopeSkippingGerundet[[#This Row],[Rundung]],INDIRECT(KW24),KW$18)))))</f>
        <v/>
      </c>
      <c r="KZ24" s="18" t="str">
        <f ca="1">IF(RopeSkippingSkalawert[[#This Row],[Skala-Wert]]="","",REPLACE(INDEX(StdDisziplinen[TabÜberschriftNote],KS$3),FIND("X",INDEX(StdDisziplinen[TabÜberschriftNote],KS$3),1),2,KV24))</f>
        <v/>
      </c>
      <c r="LA24" s="45" t="str">
        <f ca="1">IF(OR(KZ24="",RopeSkippingSkalawert[[#This Row],[Skala-Wert]]=Stammdaten!$AX$19),"",INDEX(INDIRECT(KZ24),MATCH(RopeSkippingSkalawert[[#This Row],[Skala-Wert]],INDIRECT(KW24),0)))</f>
        <v/>
      </c>
      <c r="LB24" s="31"/>
      <c r="LC24" s="599"/>
      <c r="LD24" s="190"/>
      <c r="LE24" s="586">
        <f>IF(LE$16,IF(LF$16=0.5,MROUND(AerobicResultat[[#This Row],[Resultat]],LF$16),ROUND(AerobicResultat[[#This Row],[Resultat]],LF$16)),ROUNDDOWN(AerobicResultat[[#This Row],[Resultat]],LF$16))</f>
        <v>0</v>
      </c>
      <c r="LF24" s="191" t="str">
        <f>IF(OR(Geschlecht[[#This Row],[Geschlecht (Skala)]]="",LC$16=""),"",MID(Geschlecht[[#This Row],[Geschlecht (Skala)]],1,1)&amp;MID(LC$16,1,1))</f>
        <v/>
      </c>
      <c r="LG24" s="190" t="str">
        <f>IF(OR(LF24="",AerobicResultat[[#This Row],[Resultat]]=""),"",REPLACE(INDEX(StdDisziplinen[TabÜberschriftResultat],LC$3),FIND("X",INDEX(StdDisziplinen[TabÜberschriftResultat],LC$3),1),2,LF24))</f>
        <v/>
      </c>
      <c r="LH24" s="31" t="str">
        <f ca="1">IF(LG24="","",IF(OR(AerobicResultat[[#This Row],[Resultat]]=Stammdaten!$AX$22,AerobicResultat[[#This Row],[Resultat]]=Stammdaten!$AX$19),Stammdaten!$AX$19,IF(ISNA(INDEX(INDIRECT(LG24),MATCH(AerobicGerundet[[#This Row],[Rundung]],INDIRECT(LG24),LG$18))),IF(LG$18=-1,LARGE(INDIRECT(LG24),1),SMALL(INDIRECT(LG24),1)),INDEX(INDIRECT(LG24),MATCH(AerobicGerundet[[#This Row],[Rundung]],INDIRECT(LG24),LG$18)))))</f>
        <v/>
      </c>
      <c r="LJ24" s="18" t="str">
        <f ca="1">IF(AerobicSkalawert[[#This Row],[Skala-Wert]]="","",REPLACE(INDEX(StdDisziplinen[TabÜberschriftNote],LC$3),FIND("X",INDEX(StdDisziplinen[TabÜberschriftNote],LC$3),1),2,LF24))</f>
        <v/>
      </c>
      <c r="LK24" s="45" t="str">
        <f ca="1">IF(OR(LJ24="",AerobicSkalawert[[#This Row],[Skala-Wert]]=Stammdaten!$AX$19),"",INDEX(INDIRECT(LJ24),MATCH(AerobicSkalawert[[#This Row],[Skala-Wert]],INDIRECT(LG24),0)))</f>
        <v/>
      </c>
      <c r="LL24" s="31"/>
      <c r="LM24" s="45" t="str">
        <f ca="1">IF(TanzenSkalawert[[#This Row],[Skala-Wert]]=$A$3,$A$2,IF(ISNUMBER(TanzenSkalawert[[#This Row],[Skala-Wert]]),TanzenNote[[#This Row],[Note]],"!"))</f>
        <v>!</v>
      </c>
      <c r="LN24" s="45" t="str">
        <f ca="1">IF(RopeSkippingSkalawert[[#This Row],[Skala-Wert]]=$A$3,$A$2,IF(ISNUMBER(RopeSkippingSkalawert[[#This Row],[Skala-Wert]]),RopeSkippingNote[[#This Row],[Note]],"!"))</f>
        <v>!</v>
      </c>
      <c r="LO24" s="45" t="str">
        <f ca="1">IF(AerobicSkalawert[[#This Row],[Skala-Wert]]=$A$3,$A$2,IF(ISNUMBER(AerobicSkalawert[[#This Row],[Skala-Wert]]),AerobicNote[[#This Row],[Note]],"!"))</f>
        <v>!</v>
      </c>
      <c r="LP24" s="36">
        <f t="shared" ca="1" si="132"/>
        <v>0</v>
      </c>
      <c r="LQ24" s="36">
        <f t="shared" ca="1" si="133"/>
        <v>0</v>
      </c>
      <c r="LR24" s="244" t="str">
        <f t="shared" ca="1" si="22"/>
        <v>nd</v>
      </c>
      <c r="LS24" s="244" t="str">
        <f t="shared" ca="1" si="23"/>
        <v>nd</v>
      </c>
      <c r="LT24" s="244" t="str">
        <f t="shared" ca="1" si="24"/>
        <v>nd</v>
      </c>
      <c r="LU24" s="242" t="str">
        <f t="shared" ca="1" si="25"/>
        <v/>
      </c>
      <c r="LV24" s="242" t="str">
        <f t="shared" ca="1" si="134"/>
        <v/>
      </c>
      <c r="LW24" s="242" t="str">
        <f t="shared" ca="1" si="135"/>
        <v/>
      </c>
      <c r="LX24" s="242" t="str">
        <f ca="1">IF(LW24="",Stammdaten!$AM$4,INDEX(INDIRECT($B$4),MATCH($LW24,INDIRECT($B$5),0)))</f>
        <v>Darstellen und Tanzen</v>
      </c>
      <c r="LY24" s="242" t="str">
        <f ca="1">IF(LW24="",Stammdaten!$AY$27,IF(ISNUMBER(LU24),LX24,IF(ISNUMBER(LV24),TRIM(Stammdaten!$AX$25),"")))</f>
        <v>nicht durchgeführt</v>
      </c>
      <c r="LZ24" s="242" t="str">
        <f t="shared" ca="1" si="136"/>
        <v>Darstellen und Tanzen</v>
      </c>
      <c r="MA24" s="242" t="str">
        <f t="shared" ca="1" si="137"/>
        <v/>
      </c>
      <c r="MB24" s="242" t="str">
        <f t="shared" ca="1" si="26"/>
        <v>Darstellen und TanzenResultat[@Resultat]</v>
      </c>
      <c r="MC24" s="274" t="str">
        <f t="shared" ca="1" si="138"/>
        <v/>
      </c>
      <c r="MD24" s="242" t="str">
        <f t="shared" ca="1" si="139"/>
        <v>Darstellen und TanzenSkalawert[@[Skala-Wert]]</v>
      </c>
      <c r="ME24" s="274" t="str">
        <f t="shared" ca="1" si="140"/>
        <v/>
      </c>
      <c r="MF24" s="47" t="str">
        <f t="shared" ca="1" si="27"/>
        <v/>
      </c>
      <c r="MG24" s="200" t="str">
        <f t="shared" ca="1" si="141"/>
        <v>StdDisziplinen[MaxTextSt]</v>
      </c>
      <c r="MH24" s="200" t="str">
        <f t="shared" ca="1" si="142"/>
        <v/>
      </c>
      <c r="MI24" s="45"/>
      <c r="MJ24" s="98" t="str">
        <f ca="1">IF(LP24&gt;0,MAX(LM24:LO24),IF(LQ24&gt;0,$A$3,INDEX(StdFehler[StdFehler],4)))</f>
        <v>Zu wenige Noten</v>
      </c>
      <c r="MK24" s="45"/>
      <c r="ML24" s="37"/>
      <c r="MM24" s="190"/>
      <c r="MN24" s="586">
        <f>IF(MN$16,IF(MO$16=0.5,MROUND(BasketballResultat[[#This Row],[Resultat]],MO$16),ROUND(BasketballResultat[[#This Row],[Resultat]],MO$16)),ROUNDDOWN(BasketballResultat[[#This Row],[Resultat]],MO$16))</f>
        <v>0</v>
      </c>
      <c r="MO24" s="191" t="str">
        <f>IF(OR(Geschlecht[[#This Row],[Geschlecht (Skala)]]="",ML$16=""),"",MID(Geschlecht[[#This Row],[Geschlecht (Skala)]],1,1)&amp;MID(ML$16,1,1))</f>
        <v/>
      </c>
      <c r="MP24" s="190" t="str">
        <f>IF(OR(MO24="",BasketballResultat[[#This Row],[Resultat]]=""),"",REPLACE(INDEX(StdDisziplinen[TabÜberschriftResultat],ML$3),FIND("X",INDEX(StdDisziplinen[TabÜberschriftResultat],ML$3),1),2,MO24))</f>
        <v/>
      </c>
      <c r="MQ24" s="31" t="str">
        <f ca="1">IF(MP24="","",IF(OR(BasketballResultat[[#This Row],[Resultat]]=Stammdaten!$AX$22,BasketballResultat[[#This Row],[Resultat]]=Stammdaten!$AX$19),Stammdaten!$AX$19,IF(ISNA(INDEX(INDIRECT(MP24),MATCH(BasketballGerundet[[#This Row],[Rundung]],INDIRECT(MP24),MP$18))),IF(MP$18=-1,LARGE(INDIRECT(MP24),1),SMALL(INDIRECT(MP24),1)),INDEX(INDIRECT(MP24),MATCH(BasketballGerundet[[#This Row],[Rundung]],INDIRECT(MP24),MP$18)))))</f>
        <v/>
      </c>
      <c r="MS24" s="18" t="str">
        <f ca="1">IF(BasketballSkalawert[[#This Row],[Skala-Wert]]="","",REPLACE(INDEX(StdDisziplinen[TabÜberschriftNote],ML$3),FIND("X",INDEX(StdDisziplinen[TabÜberschriftNote],ML$3),1),2,MO24))</f>
        <v/>
      </c>
      <c r="MT24" s="31" t="str">
        <f ca="1">IF(OR(MS24="",BasketballSkalawert[[#This Row],[Skala-Wert]]=Stammdaten!$AX$19),"",INDEX(INDIRECT(MS24),MATCH(BasketballSkalawert[[#This Row],[Skala-Wert]],INDIRECT(MP24),0)))</f>
        <v/>
      </c>
      <c r="MU24" s="31"/>
      <c r="MV24" s="37"/>
      <c r="MW24" s="190"/>
      <c r="MX24" s="586">
        <f>IF(MX$16,IF(MY$16=0.5,MROUND(FussballResultat[[#This Row],[Resultat]],MY$16),ROUND(FussballResultat[[#This Row],[Resultat]],MY$16)),ROUNDDOWN(FussballResultat[[#This Row],[Resultat]],MY$16))</f>
        <v>0</v>
      </c>
      <c r="MY24" s="191" t="str">
        <f>IF(OR(Geschlecht[[#This Row],[Geschlecht (Skala)]]="",MV$16=""),"",MID(Geschlecht[[#This Row],[Geschlecht (Skala)]],1,1)&amp;MID(MV$16,1,1))</f>
        <v/>
      </c>
      <c r="MZ24" s="190" t="str">
        <f>IF(OR(MY24="",FussballResultat[[#This Row],[Resultat]]=""),"",REPLACE(INDEX(StdDisziplinen[TabÜberschriftResultat],MV$3),FIND("X",INDEX(StdDisziplinen[TabÜberschriftResultat],MV$3),1),2,MY24))</f>
        <v/>
      </c>
      <c r="NA24" s="31" t="str">
        <f ca="1">IF(MZ24="","",IF(OR(FussballResultat[[#This Row],[Resultat]]=Stammdaten!$AX$22,FussballResultat[[#This Row],[Resultat]]=Stammdaten!$AX$19),Stammdaten!$AX$19,IF(ISNA(INDEX(INDIRECT(MZ24),MATCH(FussballGerundet[[#This Row],[Rundung]],INDIRECT(MZ24),MZ$18))),IF(MZ$18=-1,LARGE(INDIRECT(MZ24),1),SMALL(INDIRECT(MZ24),1)),INDEX(INDIRECT(MZ24),MATCH(FussballGerundet[[#This Row],[Rundung]],INDIRECT(MZ24),MZ$18)))))</f>
        <v/>
      </c>
      <c r="NC24" s="18" t="str">
        <f ca="1">IF(FussballSkalawert[[#This Row],[Skala-Wert]]="","",REPLACE(INDEX(StdDisziplinen[TabÜberschriftNote],MV$3),FIND("X",INDEX(StdDisziplinen[TabÜberschriftNote],MV$3),1),2,MY24))</f>
        <v/>
      </c>
      <c r="ND24" s="31" t="str">
        <f ca="1">IF(OR(NC24="",FussballSkalawert[[#This Row],[Skala-Wert]]=Stammdaten!$AX$19),"",INDEX(INDIRECT(NC24),MATCH(FussballSkalawert[[#This Row],[Skala-Wert]],INDIRECT(MZ24),0)))</f>
        <v/>
      </c>
      <c r="NE24" s="31"/>
      <c r="NF24" s="37"/>
      <c r="NG24" s="190"/>
      <c r="NH24" s="586">
        <f>IF(NH$16,IF(NI$16=0.5,MROUND(HandballResultat[[#This Row],[Resultat]],NI$16),ROUND(HandballResultat[[#This Row],[Resultat]],NI$16)),ROUNDDOWN(HandballResultat[[#This Row],[Resultat]],NI$16))</f>
        <v>0</v>
      </c>
      <c r="NI24" s="191" t="str">
        <f>IF(OR(Geschlecht[[#This Row],[Geschlecht (Skala)]]="",NF$16=""),"",MID(Geschlecht[[#This Row],[Geschlecht (Skala)]],1,1)&amp;MID(NF$16,1,1))</f>
        <v/>
      </c>
      <c r="NJ24" s="190" t="str">
        <f>IF(OR(NI24="",HandballResultat[[#This Row],[Resultat]]=""),"",REPLACE(INDEX(StdDisziplinen[TabÜberschriftResultat],NF$3),FIND("X",INDEX(StdDisziplinen[TabÜberschriftResultat],NF$3),1),2,NI24))</f>
        <v/>
      </c>
      <c r="NK24" s="31" t="str">
        <f ca="1">IF(NJ24="","",IF(OR(HandballResultat[[#This Row],[Resultat]]=Stammdaten!$AX$22,HandballResultat[[#This Row],[Resultat]]=Stammdaten!$AX$19),Stammdaten!$AX$19,IF(ISNA(INDEX(INDIRECT(NJ24),MATCH(HandballGerundet[[#This Row],[Rundung]],INDIRECT(NJ24),NJ$18))),IF(NJ$18=-1,LARGE(INDIRECT(NJ24),1),SMALL(INDIRECT(NJ24),1)),INDEX(INDIRECT(NJ24),MATCH(HandballGerundet[[#This Row],[Rundung]],INDIRECT(NJ24),NJ$18)))))</f>
        <v/>
      </c>
      <c r="NM24" s="18" t="str">
        <f ca="1">IF(HandballSkalawert[[#This Row],[Skala-Wert]]="","",REPLACE(INDEX(StdDisziplinen[TabÜberschriftNote],NF$3),FIND("X",INDEX(StdDisziplinen[TabÜberschriftNote],NF$3),1),2,NI24))</f>
        <v/>
      </c>
      <c r="NN24" s="31" t="str">
        <f ca="1">IF(OR(NM24="",HandballSkalawert[[#This Row],[Skala-Wert]]=Stammdaten!$AX$19),"",INDEX(INDIRECT(NM24),MATCH(HandballSkalawert[[#This Row],[Skala-Wert]],INDIRECT(NJ24),0)))</f>
        <v/>
      </c>
      <c r="NO24" s="31"/>
      <c r="NP24" s="37"/>
      <c r="NQ24" s="190"/>
      <c r="NR24" s="586">
        <f>IF(NR$16,IF(NS$16=0.5,MROUND(UnihockeyResultat[[#This Row],[Resultat]],NS$16),ROUND(UnihockeyResultat[[#This Row],[Resultat]],NS$16)),ROUNDDOWN(UnihockeyResultat[[#This Row],[Resultat]],NS$16))</f>
        <v>0</v>
      </c>
      <c r="NS24" s="191" t="str">
        <f>IF(OR(Geschlecht[[#This Row],[Geschlecht (Skala)]]="",NP$16=""),"",MID(Geschlecht[[#This Row],[Geschlecht (Skala)]],1,1)&amp;MID(NP$16,1,1))</f>
        <v/>
      </c>
      <c r="NT24" s="190" t="str">
        <f>IF(OR(NS24="",UnihockeyResultat[[#This Row],[Resultat]]=""),"",REPLACE(INDEX(StdDisziplinen[TabÜberschriftResultat],NP$3),FIND("X",INDEX(StdDisziplinen[TabÜberschriftResultat],NP$3),1),2,NS24))</f>
        <v/>
      </c>
      <c r="NU24" s="31" t="str">
        <f ca="1">IF(NT24="","",IF(OR(UnihockeyResultat[[#This Row],[Resultat]]=Stammdaten!$AX$22,UnihockeyResultat[[#This Row],[Resultat]]=Stammdaten!$AX$19),Stammdaten!$AX$19,IF(ISNA(INDEX(INDIRECT(NT24),MATCH(UnihockeyGerundet[[#This Row],[Rundung]],INDIRECT(NT24),NT$18))),IF(NT$18=-1,LARGE(INDIRECT(NT24),1),SMALL(INDIRECT(NT24),1)),INDEX(INDIRECT(NT24),MATCH(UnihockeyGerundet[[#This Row],[Rundung]],INDIRECT(NT24),NT$18)))))</f>
        <v/>
      </c>
      <c r="NW24" s="18" t="str">
        <f ca="1">IF(UnihockeySkalawert[[#This Row],[Skala-Wert]]="","",REPLACE(INDEX(StdDisziplinen[TabÜberschriftNote],NP$3),FIND("X",INDEX(StdDisziplinen[TabÜberschriftNote],NP$3),1),2,NS24))</f>
        <v/>
      </c>
      <c r="NX24" s="31" t="str">
        <f ca="1">IF(OR(NW24="",UnihockeySkalawert[[#This Row],[Skala-Wert]]=Stammdaten!$AX$19),"",INDEX(INDIRECT(NW24),MATCH(UnihockeySkalawert[[#This Row],[Skala-Wert]],INDIRECT(NT24),0)))</f>
        <v/>
      </c>
      <c r="NY24" s="31"/>
      <c r="NZ24" s="597"/>
      <c r="OA24" s="190"/>
      <c r="OB24" s="587">
        <f>IF(OB$16,IF(OC$16=0.5,MROUND(VolleyballResultat[[#This Row],[Resultat]],OC$16),ROUND(VolleyballResultat[[#This Row],[Resultat]],OC$16)),ROUNDDOWN(VolleyballResultat[[#This Row],[Resultat]],OC$16))</f>
        <v>0</v>
      </c>
      <c r="OC24" s="191" t="str">
        <f>IF(OR(Geschlecht[[#This Row],[Geschlecht (Skala)]]="",NZ$16=""),"",MID(Geschlecht[[#This Row],[Geschlecht (Skala)]],1,1)&amp;MID(NZ$16,1,1))</f>
        <v/>
      </c>
      <c r="OD24" s="190" t="str">
        <f>IF(OR(OC24="",VolleyballResultat[[#This Row],[Resultat]]=""),"",REPLACE(INDEX(StdDisziplinen[TabÜberschriftResultat],NZ$3),FIND("X",INDEX(StdDisziplinen[TabÜberschriftResultat],NZ$3),1),2,OC24))</f>
        <v/>
      </c>
      <c r="OE24" s="192" t="str">
        <f ca="1">IF(OD24="","",IF(OR(VolleyballResultat[[#This Row],[Resultat]]=Stammdaten!$AX$22,VolleyballResultat[[#This Row],[Resultat]]=Stammdaten!$AX$19),Stammdaten!$AX$19,IF(ISNA(INDEX(INDIRECT(OD24),MATCH(VolleyballGerundet[[#This Row],[Rundung]],INDIRECT(OD24),OD$18))),IF(OD$18=-1,LARGE(INDIRECT(OD24),1),SMALL(INDIRECT(OD24),1)),INDEX(INDIRECT(OD24),MATCH(VolleyballGerundet[[#This Row],[Rundung]],INDIRECT(OD24),OD$18)))))</f>
        <v/>
      </c>
      <c r="OG24" s="18" t="str">
        <f ca="1">IF(VolleyballSkalawert[[#This Row],[Skala-Wert]]="","",REPLACE(INDEX(StdDisziplinen[TabÜberschriftNote],NZ$3),FIND("X",INDEX(StdDisziplinen[TabÜberschriftNote],NZ$3),1),2,OC24))</f>
        <v/>
      </c>
      <c r="OH24" s="31" t="str">
        <f ca="1">IF(OR(OG24="",VolleyballSkalawert[[#This Row],[Skala-Wert]]=Stammdaten!$AX$19),"",INDEX(INDIRECT(OG24),MATCH(VolleyballSkalawert[[#This Row],[Skala-Wert]],INDIRECT(OD24),0)))</f>
        <v/>
      </c>
      <c r="OI24" s="45"/>
      <c r="OJ24" s="31">
        <f ca="1">IF(BasketballSkalawert[[#This Row],[Skala-Wert]]=$A$3,$A$2,IF(BasketballNote[[#This Row],[Note]]="",0,BasketballNote[[#This Row],[Note]]))</f>
        <v>0</v>
      </c>
      <c r="OK24" s="31">
        <f ca="1">IF(FussballSkalawert[[#This Row],[Skala-Wert]]=$A$3,$A$2,IF(FussballNote[[#This Row],[Note]]="",0,FussballNote[[#This Row],[Note]]))</f>
        <v>0</v>
      </c>
      <c r="OL24" s="31">
        <f ca="1">IF(HandballSkalawert[[#This Row],[Skala-Wert]]=$A$3,$A$2,IF(HandballNote[[#This Row],[Note]]="",0,HandballNote[[#This Row],[Note]]))</f>
        <v>0</v>
      </c>
      <c r="OM24" s="31">
        <f ca="1">IF(UnihockeySkalawert[[#This Row],[Skala-Wert]]=$A$3,$A$2,IF(UnihockeyNote[[#This Row],[Note]]="",0,UnihockeyNote[[#This Row],[Note]]))</f>
        <v>0</v>
      </c>
      <c r="ON24" s="31">
        <f ca="1">IF(VolleyballSkalawert[[#This Row],[Skala-Wert]]=$A$3,$A$2,IF(VolleyballNote[[#This Row],[Note]]="",0,VolleyballNote[[#This Row],[Note]]))</f>
        <v>0</v>
      </c>
      <c r="OO24" s="202">
        <f t="shared" ca="1" si="28"/>
        <v>0</v>
      </c>
      <c r="OP24" s="202">
        <f t="shared" ca="1" si="29"/>
        <v>0</v>
      </c>
      <c r="OQ24" s="202">
        <f t="shared" ca="1" si="143"/>
        <v>0</v>
      </c>
      <c r="OR24" s="96" t="str">
        <f t="shared" ca="1" si="144"/>
        <v>!</v>
      </c>
      <c r="OS24" s="96" t="str">
        <f t="shared" ca="1" si="30"/>
        <v>!</v>
      </c>
      <c r="OT24" s="96" t="str">
        <f t="shared" ca="1" si="31"/>
        <v>!</v>
      </c>
      <c r="OU24" s="96" t="str">
        <f ca="1">IF(NOT(OQ24),INDEX(StdFehler[StdFehler],4),IF(COUNTIF(OR24:OT24,$A$2)&gt;=$OQ$13,$A$3,ROUND(AVERAGE(OR24:OT24)/$RX$4,0)*$RX$4))</f>
        <v>Zu wenige Noten</v>
      </c>
      <c r="OV24" s="244" t="str">
        <f t="shared" ca="1" si="145"/>
        <v>nd</v>
      </c>
      <c r="OW24" s="244" t="str">
        <f t="shared" ca="1" si="146"/>
        <v>nd</v>
      </c>
      <c r="OX24" s="244" t="str">
        <f t="shared" ca="1" si="147"/>
        <v>nd</v>
      </c>
      <c r="OY24" s="244" t="str">
        <f t="shared" ca="1" si="148"/>
        <v>nd</v>
      </c>
      <c r="OZ24" s="244" t="str">
        <f t="shared" ca="1" si="149"/>
        <v>nd</v>
      </c>
      <c r="PA24" s="202" t="b">
        <f t="shared" ca="1" si="150"/>
        <v>0</v>
      </c>
      <c r="PB24" s="202">
        <f t="shared" ca="1" si="151"/>
        <v>1</v>
      </c>
      <c r="PC24" s="202">
        <f t="shared" ca="1" si="152"/>
        <v>0</v>
      </c>
      <c r="PD24" s="96" t="str">
        <f t="shared" ca="1" si="153"/>
        <v/>
      </c>
      <c r="PE24" s="96" t="str">
        <f t="shared" ca="1" si="154"/>
        <v/>
      </c>
      <c r="PF24" s="200">
        <f t="shared" ca="1" si="155"/>
        <v>0</v>
      </c>
      <c r="PG24" s="202" t="str">
        <f t="shared" ca="1" si="156"/>
        <v/>
      </c>
      <c r="PH24" s="200" t="str">
        <f t="shared" ca="1" si="157"/>
        <v/>
      </c>
      <c r="PI24" s="200" t="str">
        <f t="shared" ca="1" si="158"/>
        <v/>
      </c>
      <c r="PJ24" s="200" t="str">
        <f t="shared" ca="1" si="159"/>
        <v/>
      </c>
      <c r="PK24" s="242" t="str">
        <f t="shared" ca="1" si="160"/>
        <v/>
      </c>
      <c r="PL24" s="242" t="str">
        <f t="shared" ca="1" si="161"/>
        <v/>
      </c>
      <c r="PM24" s="242" t="str">
        <f t="shared" ca="1" si="162"/>
        <v/>
      </c>
      <c r="PN24" s="242" t="str">
        <f t="shared" ca="1" si="163"/>
        <v>Erste Spielsportart</v>
      </c>
      <c r="PO24" s="242" t="str">
        <f ca="1">IF(PN24=$PM$11,Stammdaten!$AY$27,IF(PR24=$A$2,TRIM(Stammdaten!$AX$25),""))</f>
        <v>nicht durchgeführt</v>
      </c>
      <c r="PP24" s="242" t="str">
        <f t="shared" ca="1" si="164"/>
        <v/>
      </c>
      <c r="PQ24" s="202" t="str">
        <f t="shared" ca="1" si="165"/>
        <v>Erste SpielsportartResultat[@Resultat]</v>
      </c>
      <c r="PR24" s="98" t="str">
        <f t="shared" ca="1" si="166"/>
        <v/>
      </c>
      <c r="PS24" s="202" t="str">
        <f t="shared" ca="1" si="167"/>
        <v/>
      </c>
      <c r="PT24" s="202" t="str">
        <f t="shared" ca="1" si="168"/>
        <v>Erste SpielsportartSkalawert[@[Skala-Wert]]</v>
      </c>
      <c r="PU24" s="98" t="str">
        <f t="shared" ca="1" si="169"/>
        <v/>
      </c>
      <c r="PV24" s="202" t="str">
        <f t="shared" ca="1" si="170"/>
        <v/>
      </c>
      <c r="PW24" s="202" t="str">
        <f t="shared" ca="1" si="171"/>
        <v/>
      </c>
      <c r="PX24" s="202" t="str">
        <f t="shared" ca="1" si="172"/>
        <v>StdDisziplinen[MaxTextSt]</v>
      </c>
      <c r="PY24" s="202" t="str">
        <f t="shared" ca="1" si="173"/>
        <v/>
      </c>
      <c r="PZ24" s="202" t="b">
        <f t="shared" ca="1" si="174"/>
        <v>0</v>
      </c>
      <c r="QA24" s="202" t="str">
        <f t="shared" ca="1" si="175"/>
        <v/>
      </c>
      <c r="QB24" s="202" t="str">
        <f t="shared" ca="1" si="32"/>
        <v/>
      </c>
      <c r="QC24" s="202" t="str">
        <f t="shared" ca="1" si="176"/>
        <v/>
      </c>
      <c r="QD24" s="202" t="str">
        <f t="shared" ca="1" si="177"/>
        <v/>
      </c>
      <c r="QE24" s="242" t="str">
        <f t="shared" ca="1" si="178"/>
        <v/>
      </c>
      <c r="QF24" s="242" t="str">
        <f t="shared" ca="1" si="179"/>
        <v/>
      </c>
      <c r="QG24" s="242" t="str">
        <f t="shared" ca="1" si="180"/>
        <v>Zweite Spielsportart</v>
      </c>
      <c r="QH24" s="242" t="str">
        <f ca="1">IF(QG24=$QF$11,Stammdaten!$AY$27,IF(QK24=$A$2,TRIM(Stammdaten!$AX$25),""))</f>
        <v>nicht durchgeführt</v>
      </c>
      <c r="QI24" s="242" t="str">
        <f t="shared" ca="1" si="181"/>
        <v/>
      </c>
      <c r="QJ24" s="202" t="str">
        <f t="shared" ca="1" si="182"/>
        <v>Zweite SpielsportartResultat[@Resultat]</v>
      </c>
      <c r="QK24" s="98" t="str">
        <f t="shared" ca="1" si="183"/>
        <v/>
      </c>
      <c r="QL24" s="202" t="str">
        <f t="shared" ca="1" si="184"/>
        <v/>
      </c>
      <c r="QM24" s="202" t="str">
        <f t="shared" ca="1" si="185"/>
        <v>Zweite SpielsportartSkalawert[@[Skala-Wert]]</v>
      </c>
      <c r="QN24" s="98" t="str">
        <f t="shared" ca="1" si="186"/>
        <v/>
      </c>
      <c r="QO24" s="202" t="str">
        <f t="shared" ca="1" si="187"/>
        <v/>
      </c>
      <c r="QP24" s="202" t="str">
        <f t="shared" ca="1" si="188"/>
        <v/>
      </c>
      <c r="QQ24" s="202" t="str">
        <f t="shared" ca="1" si="189"/>
        <v>StdDisziplinen[MaxTextSt]</v>
      </c>
      <c r="QR24" s="202" t="str">
        <f t="shared" ca="1" si="190"/>
        <v/>
      </c>
      <c r="QS24" s="202" t="b">
        <f t="shared" ca="1" si="191"/>
        <v>0</v>
      </c>
      <c r="QT24" s="242" t="str">
        <f t="shared" ca="1" si="33"/>
        <v>Dritte Spielsportart</v>
      </c>
      <c r="QU24" s="242" t="str">
        <f ca="1">IF(QT24=$QT$11,MID(Stammdaten!$AX$27,2,LEN(Stammdaten!$AX$27)),IF(QX24=$A$2,TRIM(Stammdaten!$AX$25),""))</f>
        <v>nicht durchgeführt</v>
      </c>
      <c r="QV24" s="242" t="str">
        <f t="shared" ca="1" si="34"/>
        <v/>
      </c>
      <c r="QW24" s="202" t="str">
        <f t="shared" ca="1" si="192"/>
        <v>Dritte SpielsportartResultat[@Resultat]</v>
      </c>
      <c r="QX24" s="98" t="str">
        <f t="shared" ca="1" si="193"/>
        <v/>
      </c>
      <c r="QY24" s="202" t="str">
        <f t="shared" ca="1" si="35"/>
        <v/>
      </c>
      <c r="QZ24" s="202" t="str">
        <f t="shared" ca="1" si="194"/>
        <v>Dritte SpielsportartSkalawert[@[Skala-Wert]]</v>
      </c>
      <c r="RA24" s="98" t="str">
        <f t="shared" ca="1" si="195"/>
        <v/>
      </c>
      <c r="RB24" s="202" t="str">
        <f t="shared" ca="1" si="36"/>
        <v/>
      </c>
      <c r="RC24" s="202" t="str">
        <f t="shared" ca="1" si="196"/>
        <v/>
      </c>
      <c r="RD24" s="202" t="str">
        <f t="shared" ca="1" si="197"/>
        <v>StdDisziplinen[MaxTextSt]</v>
      </c>
      <c r="RE24" s="202" t="str">
        <f t="shared" ca="1" si="37"/>
        <v/>
      </c>
      <c r="RF24" s="244">
        <f t="shared" ca="1" si="38"/>
        <v>99</v>
      </c>
      <c r="RG24" s="244">
        <f t="shared" ca="1" si="39"/>
        <v>99</v>
      </c>
      <c r="RH24" s="244">
        <f t="shared" ca="1" si="40"/>
        <v>99</v>
      </c>
      <c r="RI24" s="244">
        <f t="shared" ca="1" si="41"/>
        <v>99</v>
      </c>
      <c r="RJ24" s="244">
        <f t="shared" ca="1" si="42"/>
        <v>99</v>
      </c>
      <c r="RK24" s="244">
        <f t="shared" ca="1" si="198"/>
        <v>99</v>
      </c>
      <c r="RL24" s="244">
        <f t="shared" ca="1" si="199"/>
        <v>99</v>
      </c>
      <c r="RM24" s="244">
        <f t="shared" ca="1" si="200"/>
        <v>99</v>
      </c>
      <c r="RN24" s="244">
        <f t="shared" ca="1" si="201"/>
        <v>99</v>
      </c>
      <c r="RO24" s="244">
        <f t="shared" ca="1" si="202"/>
        <v>99</v>
      </c>
      <c r="RP24" s="202" t="str">
        <f t="shared" ca="1" si="43"/>
        <v>Zu wenige Noten</v>
      </c>
      <c r="RQ24" s="202" t="str">
        <f t="shared" ca="1" si="203"/>
        <v>Zu wenige Noten</v>
      </c>
      <c r="RR24" s="202" t="str">
        <f t="shared" ca="1" si="203"/>
        <v>Zu wenige Noten</v>
      </c>
      <c r="RS24" s="202" t="str">
        <f t="shared" ca="1" si="204"/>
        <v>Zu wenige Noten</v>
      </c>
      <c r="RT24" s="202" t="str">
        <f t="shared" ca="1" si="204"/>
        <v>Zu wenige Noten</v>
      </c>
      <c r="RU24" s="202" t="str">
        <f t="shared" ca="1" si="205"/>
        <v>Zu wenige Noten</v>
      </c>
      <c r="RV24" s="202" t="str">
        <f t="shared" ca="1" si="206"/>
        <v>Zu wenige Noten</v>
      </c>
      <c r="RW24" s="31"/>
      <c r="RX24" s="56" t="str">
        <f t="shared" ca="1" si="44"/>
        <v>Zu wenige Noten</v>
      </c>
      <c r="RY24" s="31"/>
      <c r="RZ24" s="31" t="str">
        <f t="shared" ca="1" si="45"/>
        <v>Zu wenige Noten</v>
      </c>
      <c r="SA24" s="31" t="str">
        <f t="shared" ca="1" si="46"/>
        <v>Zu wenige Noten</v>
      </c>
      <c r="SB24" s="45" t="str">
        <f t="shared" ca="1" si="47"/>
        <v>Zu wenige Noten</v>
      </c>
      <c r="SC24" s="31" t="str">
        <f t="shared" ca="1" si="207"/>
        <v>Zu wenige Noten</v>
      </c>
      <c r="SD24" s="31" t="str">
        <f t="shared" ca="1" si="208"/>
        <v>Zu wenige Noten</v>
      </c>
      <c r="SE24" s="31" t="str">
        <f t="shared" ca="1" si="48"/>
        <v>Zu wenige Noten</v>
      </c>
      <c r="SF24" s="31" t="str">
        <f t="shared" ca="1" si="209"/>
        <v>Zu wenige Noten</v>
      </c>
      <c r="SG24" s="31" t="str">
        <f t="shared" ca="1" si="48"/>
        <v>Zu wenige Noten</v>
      </c>
      <c r="SH24" s="36">
        <f t="shared" ca="1" si="210"/>
        <v>0</v>
      </c>
      <c r="SI24" s="36">
        <f t="shared" ca="1" si="211"/>
        <v>0</v>
      </c>
      <c r="SJ24" s="36">
        <f t="shared" ca="1" si="212"/>
        <v>0</v>
      </c>
      <c r="SK24" s="31">
        <f t="shared" ca="1" si="213"/>
        <v>99</v>
      </c>
      <c r="SL24" s="31">
        <f t="shared" ca="1" si="214"/>
        <v>99</v>
      </c>
      <c r="SM24" s="36" t="str">
        <f t="shared" ca="1" si="215"/>
        <v>99.0</v>
      </c>
      <c r="SN24" s="31">
        <f t="shared" ca="1" si="216"/>
        <v>99</v>
      </c>
      <c r="SO24" s="36" t="str">
        <f ca="1">IF(NOT(SJ24),INDEX(StdFehler[StdFehler],4),IF(SI24=$SJ$13,$A$3,CONCATENATE(TEXT(SK24,"#.0"),", ",TEXT(SL24,"#.0"),", ",SM24,", ",TEXT(SN24,"#.0"))))</f>
        <v>Zu wenige Noten</v>
      </c>
      <c r="SP24" s="36" t="str">
        <f t="shared" ca="1" si="49"/>
        <v>Zu wenige Noten</v>
      </c>
      <c r="SQ24" s="36" t="str">
        <f t="shared" ca="1" si="49"/>
        <v>Zu wenige Noten</v>
      </c>
      <c r="SR24" s="36" t="str">
        <f t="shared" ca="1" si="49"/>
        <v>Zu wenige Noten</v>
      </c>
      <c r="SS24" s="36" t="str">
        <f t="shared" ca="1" si="49"/>
        <v>Zu wenige Noten</v>
      </c>
      <c r="ST24" s="36" t="str">
        <f t="shared" ca="1" si="217"/>
        <v>Zu wenige Noten</v>
      </c>
      <c r="SU24" s="36"/>
      <c r="SV24" s="214" t="str">
        <f t="shared" si="218"/>
        <v>D</v>
      </c>
      <c r="SW24" s="36"/>
      <c r="SX24" s="214" t="str">
        <f t="shared" si="219"/>
        <v>D</v>
      </c>
      <c r="SY24" s="36"/>
      <c r="SZ24" s="214" t="str">
        <f t="shared" si="220"/>
        <v>D</v>
      </c>
      <c r="TA24" s="36"/>
      <c r="TB24" s="214" t="str">
        <f t="shared" si="221"/>
        <v>D</v>
      </c>
      <c r="TC24" s="31"/>
      <c r="TD24" s="36" t="str">
        <f t="shared" ca="1" si="222"/>
        <v>Zu wenige Noten</v>
      </c>
      <c r="TE24" s="31"/>
      <c r="TF24" s="193" t="str">
        <f ca="1">IF(NOT(SJ24),INDEX(StdFehler[StdFehler],4),IF(SI24=$TF$4,$A$3,ROUND(AVERAGE(RZ24:SC24)/$TF$5,0)*$TF$5))</f>
        <v>Zu wenige Noten</v>
      </c>
      <c r="TH24" s="595" t="str">
        <f>IF(OR($TH$18=Stammdaten!$AX$20,$TH$18=""),Stammdaten!$AX$20,$TH$18)</f>
        <v>Disziplin</v>
      </c>
      <c r="TI24" s="33"/>
      <c r="TJ24" s="33" t="str">
        <f>IF(OR(Geschlecht[[#This Row],[Geschlecht (Skala)]]="",TH24="",TH24=Stammdaten!$AX$20),"",REPLACE(INDEX(StdDisziplinen[TabÜberschriftResultat],TH$3),FIND("XX",INDEX(StdDisziplinen[TabÜberschriftResultat],TH$3),1),2,Geschlecht[[#This Row],[Geschlecht (Skala)]]))</f>
        <v/>
      </c>
      <c r="TK24" s="596"/>
      <c r="TM24" s="37"/>
      <c r="TN24" s="40"/>
      <c r="TO24" s="587">
        <f>IF(TO$16,IF(TP$16=0.5,MROUND(SchwimmenResultat[[#This Row],[Resultat]],TP$16),ROUND(SchwimmenResultat[[#This Row],[Resultat]],TP$16)),ROUNDDOWN(SchwimmenResultat[[#This Row],[Resultat]],TP$16))</f>
        <v>0</v>
      </c>
      <c r="TP24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4" s="153" t="str">
        <f ca="1">IF(TP24="","",IF(OR(SchwimmenResultat[[#This Row],[Resultat]]=Stammdaten!$AX$22,SchwimmenResultat[[#This Row],[Resultat]]=Stammdaten!$AX$19),Stammdaten!$AX$19,IF(ISNA(INDEX(INDIRECT(TP24),MATCH(SchwimmenGerundet[[#This Row],[Rundung]],INDIRECT(TP24),TP$18))),IF(TP$18=-1,LARGE(INDIRECT(TP24),1),SMALL(INDIRECT(TP24),1)),INDEX(INDIRECT(TP24),MATCH(SchwimmenGerundet[[#This Row],[Rundung]],INDIRECT(TP24),TP$18)))))</f>
        <v/>
      </c>
      <c r="TR24" s="33" t="str">
        <f>IF(OR(TP24="",SchwimmenResultat[[#This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4" s="33"/>
      <c r="TT24" s="36" t="str">
        <f ca="1">IF(OR(TR24="",SchwimmenSkalawert[[#This Row],[Skala-Wert]]=Stammdaten!$AX$19),"",INDEX(INDIRECT(TR24),MATCH(SchwimmenSkalawert[[#This Row],[Skala-Wert]],INDIRECT(TP24),0)))</f>
        <v/>
      </c>
      <c r="TU24" s="36"/>
      <c r="TV24" s="190" t="str">
        <f>IF(ZwölfMinLaufHalleResultat[[#This Row],[Resultat]]=0,"",ZwölfMinLaufHalleResultat[[#This Row],[Resultat]])</f>
        <v/>
      </c>
      <c r="TW24" s="190"/>
      <c r="TX24" s="31" t="str">
        <f ca="1">ZwölfMinLaufHalleSkalawert[[#This Row],[Skala-Wert]]</f>
        <v/>
      </c>
      <c r="TZ24" s="31" t="str">
        <f ca="1">ZwölfMinLaufHalleNote[[#This Row],[Note]]</f>
        <v/>
      </c>
      <c r="UA24" s="31"/>
      <c r="UB24" s="190" t="str">
        <f>IF(ZwölfMinLaufimFreienResultat[[#This Row],[Resultat]]=0,"",ZwölfMinLaufimFreienResultat[[#This Row],[Resultat]])</f>
        <v/>
      </c>
      <c r="UC24" s="190"/>
      <c r="UD24" s="192" t="str">
        <f ca="1">ZwölfMinLaufimFreienSkalawert[[#This Row],[Skala-Wert]]</f>
        <v/>
      </c>
      <c r="UF24" s="31" t="str">
        <f ca="1">ZwölfMinLaufimFreienNote[[#This Row],[Note]]</f>
        <v/>
      </c>
      <c r="UG24" s="31"/>
      <c r="UH24" s="597"/>
      <c r="UI24" s="190"/>
      <c r="UJ24" s="587">
        <f>IF(UJ$16,IF(UK$16=0.5,MROUND(BeweglichkeitResultat[[#This Row],[Resultat]],UK$16),ROUND(BeweglichkeitResultat[[#This Row],[Resultat]],UK$16)),ROUNDDOWN(BeweglichkeitResultat[[#This Row],[Resultat]],UK$16))</f>
        <v>0</v>
      </c>
      <c r="UK24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4" s="192" t="str">
        <f ca="1">IF(UK24="","",IF(OR(BeweglichkeitResultat[[#This Row],[Resultat]]=Stammdaten!$AX$22,BeweglichkeitResultat[[#This Row],[Resultat]]=Stammdaten!$AX$19),Stammdaten!$AX$19,IF(ISNA(INDEX(INDIRECT(UK24),MATCH(BeweglichkeitGerundet[[#This Row],[Rundung]],INDIRECT(UK24),UK$18))),IF(UK$18=-1,LARGE(INDIRECT(UK24),1),SMALL(INDIRECT(UK24),1)),INDEX(INDIRECT(UK24),MATCH(BeweglichkeitGerundet[[#This Row],[Rundung]],INDIRECT(UK24),UK$18)))))</f>
        <v/>
      </c>
      <c r="UN24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4" s="36" t="str">
        <f ca="1">IF(OR(UK24="",BeweglichkeitSkalawert[[#This Row],[Skala-Wert]]=Stammdaten!$AX$19),"",INDEX(INDIRECT(UN24),MATCH(BeweglichkeitSkalawert[[#This Row],[Skala-Wert]],INDIRECT(UK24),0)))</f>
        <v/>
      </c>
      <c r="UP24" s="31"/>
      <c r="UQ24" s="597"/>
      <c r="UR24" s="190"/>
      <c r="US24" s="587">
        <f>IF(US$16,IF(UT$16=0.5,MROUND(RumpfkraftResultat[[#This Row],[Resultat]],UT$16),ROUND(RumpfkraftResultat[[#This Row],[Resultat]],UT$16)),ROUNDDOWN(RumpfkraftResultat[[#This Row],[Resultat]],UT$16))</f>
        <v>0</v>
      </c>
      <c r="UT24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4" s="192" t="str">
        <f ca="1">IF(UT24="","",IF(OR(RumpfkraftResultat[[#This Row],[Resultat]]=Stammdaten!$AX$22,RumpfkraftResultat[[#This Row],[Resultat]]=Stammdaten!$AX$19),Stammdaten!$AX$19,IF(ISNA(INDEX(INDIRECT(UT24),MATCH(RumpfkraftGerundet[[#This Row],[Rundung]],INDIRECT(UT24),UT$18))),IF(UT$18=-1,LARGE(INDIRECT(UT24),1),SMALL(INDIRECT(UT24),1)),INDEX(INDIRECT(UT24),MATCH(RumpfkraftGerundet[[#This Row],[Rundung]],INDIRECT(UT24),UT$18)))))</f>
        <v/>
      </c>
      <c r="UW24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4" s="36" t="str">
        <f ca="1">IF(OR(UT24="",RumpfkraftSkalawert[[#This Row],[Skala-Wert]]=Stammdaten!$AX$19),"",INDEX(INDIRECT(UW24),MATCH(RumpfkraftSkalawert[[#This Row],[Skala-Wert]],INDIRECT(UT24),0)))</f>
        <v/>
      </c>
      <c r="UY24" s="31"/>
      <c r="UZ24" s="190" t="str">
        <f>IF(SechzigmLaufResultat[[#This Row],[Resultat]]=0,"",SechzigmLaufResultat[[#This Row],[Resultat]])</f>
        <v/>
      </c>
      <c r="VA24" s="190"/>
      <c r="VB24" s="45" t="str">
        <f ca="1">SechzigmLaufSkalawert[[#This Row],[Skala-Wert]]</f>
        <v/>
      </c>
      <c r="VD24" s="31" t="str">
        <f ca="1">SechzigmLaufNote[[#This Row],[Note]]</f>
        <v/>
      </c>
      <c r="VE24" s="31"/>
      <c r="VF24" s="190" t="str">
        <f>IF(AchtzigmLaufResultat[[#This Row],[Resultat]]=0,"",AchtzigmLaufResultat[[#This Row],[Resultat]])</f>
        <v/>
      </c>
      <c r="VG24" s="190"/>
      <c r="VH24" s="45" t="str">
        <f ca="1">AchtzigmLaufSkalawert[[#This Row],[Skala-Wert]]</f>
        <v/>
      </c>
      <c r="VJ24" s="31" t="str">
        <f ca="1">AchtzigmLaufNote[[#This Row],[Note]]</f>
        <v/>
      </c>
      <c r="VK24" s="31"/>
      <c r="VL24" s="37"/>
      <c r="VM24" s="190"/>
      <c r="VN24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4" s="191" t="str">
        <f>IF(OR(Geschlecht[[#This Row],[Geschlecht (Skala)]]="",VL$16=""),"",MID(Geschlecht[[#This Row],[Geschlecht (Skala)]],1,1)&amp;MID(VL$16,1,1))</f>
        <v/>
      </c>
      <c r="VP24" s="190" t="str">
        <f>IF(OR(VO24="",KonditionsparcoursResultat[[#This Row],[Resultat]]=""),"",REPLACE(INDEX(StdDisziplinen[TabÜberschriftResultat],VL$3),FIND("X",INDEX(StdDisziplinen[TabÜberschriftResultat],VL$3),1),2,VO24))</f>
        <v/>
      </c>
      <c r="VQ24" s="192" t="str">
        <f ca="1">IF(VP24="","",IF(OR(KonditionsparcoursResultat[[#This Row],[Resultat]]=Stammdaten!$AX$22,KonditionsparcoursResultat[[#This Row],[Resultat]]=Stammdaten!$AX$19),Stammdaten!$AX$19,IF(ISNA(INDEX(INDIRECT(VP24),MATCH(KonditionsparcoursGerundet[[#This Row],[Rundung]],INDIRECT(VP24),VP$18))),IF(VP$18=-1,LARGE(INDIRECT(VP24),1),SMALL(INDIRECT(VP24),1)),INDEX(INDIRECT(VP24),MATCH(KonditionsparcoursGerundet[[#This Row],[Rundung]],INDIRECT(VP24),VP$18)))))</f>
        <v/>
      </c>
      <c r="VS24" s="18" t="str">
        <f ca="1">IF(KonditionsparcoursSkalawert[[#This Row],[Skala-Wert]]="","",REPLACE(INDEX(StdDisziplinen[TabÜberschriftNote],VL$3),FIND("X",INDEX(StdDisziplinen[TabÜberschriftNote],VL$3),1),2,VO24))</f>
        <v/>
      </c>
      <c r="VT24" s="31" t="str">
        <f ca="1">IF(OR(VS24="",KonditionsparcoursSkalawert[[#This Row],[Skala-Wert]]=Stammdaten!$AX$19),"",INDEX(INDIRECT(VS24),MATCH(KonditionsparcoursSkalawert[[#This Row],[Skala-Wert]],INDIRECT(VP24),0)))</f>
        <v/>
      </c>
      <c r="VU24" s="22"/>
    </row>
    <row r="25" spans="1:593" x14ac:dyDescent="0.3">
      <c r="A25" s="30">
        <v>7</v>
      </c>
      <c r="B25" s="589"/>
      <c r="C25" s="589"/>
      <c r="E25" s="591"/>
      <c r="G25" s="37"/>
      <c r="H25" s="190"/>
      <c r="I25" s="154">
        <f>IF(I$16,IF(J$16=0.5,MROUND(SechzigmLaufResultat[[#This Row],[Resultat]],J$16),ROUND(SechzigmLaufResultat[[#This Row],[Resultat]],J$16)),ROUNDDOWN(SechzigmLaufResultat[[#This Row],[Resultat]],J$16))</f>
        <v>0</v>
      </c>
      <c r="J25" s="191" t="str">
        <f>IF(OR(Geschlecht[[#This Row],[Geschlecht (Skala)]]="",G$16=""),"",MID(Geschlecht[[#This Row],[Geschlecht (Skala)]],1,1)&amp;MID(G$16,1,1))</f>
        <v/>
      </c>
      <c r="K25" s="190" t="str">
        <f>IF(OR(J25="",SechzigmLaufResultat[[#This Row],[Resultat]]=""),"",REPLACE(INDEX(StdDisziplinen[TabÜberschriftResultat],G$3),FIND("X",INDEX(StdDisziplinen[TabÜberschriftResultat],G$3),1),2,J25))</f>
        <v/>
      </c>
      <c r="L25" s="45" t="str">
        <f ca="1">IF(K25="","",IF(OR(SechzigmLaufResultat[[#This Row],[Resultat]]=Stammdaten!$AX$22,SechzigmLaufResultat[[#This Row],[Resultat]]=Stammdaten!$AX$19),Stammdaten!$AX$19,IF(ISNA(INDEX(INDIRECT(K25),MATCH(SechzigmLaufGerundet[[#This Row],[Rundung]],INDIRECT(K25),K$18))),IF(K$18=-1,LARGE(INDIRECT(K25),1),SMALL(INDIRECT(K25),1)),INDEX(INDIRECT(K25),MATCH(SechzigmLaufGerundet[[#This Row],[Rundung]],INDIRECT(K25),K$18)))))</f>
        <v/>
      </c>
      <c r="N25" s="18" t="str">
        <f ca="1">IF(SechzigmLaufSkalawert[[#This Row],[Skala-Wert]]="","",REPLACE(INDEX(StdDisziplinen[TabÜberschriftNote],G$3),FIND("X",INDEX(StdDisziplinen[TabÜberschriftNote],G$3),1),2,J25))</f>
        <v/>
      </c>
      <c r="O25" s="31" t="str">
        <f ca="1">IF(OR(N25="",SechzigmLaufSkalawert[[#This Row],[Skala-Wert]]=Stammdaten!$AX$19),"",INDEX(INDIRECT(N25),MATCH(SechzigmLaufSkalawert[[#This Row],[Skala-Wert]],INDIRECT(K25),0)))</f>
        <v/>
      </c>
      <c r="P25" s="31"/>
      <c r="Q25" s="37"/>
      <c r="R25" s="190"/>
      <c r="S25" s="154">
        <f>IF(S$16,IF(T$16=0.5,MROUND(AchtzigmLaufResultat[[#This Row],[Resultat]],T$16),ROUND(AchtzigmLaufResultat[[#This Row],[Resultat]],T$16)),ROUNDDOWN(AchtzigmLaufResultat[[#This Row],[Resultat]],T$16))</f>
        <v>0</v>
      </c>
      <c r="T25" s="191" t="str">
        <f>IF(OR(Geschlecht[[#This Row],[Geschlecht (Skala)]]="",Q$16=""),"",MID(Geschlecht[[#This Row],[Geschlecht (Skala)]],1,1)&amp;MID(Q$16,1,1))</f>
        <v/>
      </c>
      <c r="U25" s="190" t="str">
        <f>IF(OR(T25="",AchtzigmLaufResultat[[#This Row],[Resultat]]=""),"",REPLACE(INDEX(StdDisziplinen[TabÜberschriftResultat],Q$3),FIND("X",INDEX(StdDisziplinen[TabÜberschriftResultat],Q$3),1),2,T25))</f>
        <v/>
      </c>
      <c r="V25" s="45" t="str">
        <f ca="1">IF(U25="","",IF(OR(AchtzigmLaufResultat[[#This Row],[Resultat]]=Stammdaten!$AX$22,AchtzigmLaufResultat[[#This Row],[Resultat]]=Stammdaten!$AX$19),Stammdaten!$AX$19,IF(ISNA(INDEX(INDIRECT(U25),MATCH(AchtzigmLaufGerundet[[#This Row],[Rundung]],INDIRECT(U25),U$18))),IF(U$18=-1,LARGE(INDIRECT(U25),1),SMALL(INDIRECT(U25),1)),INDEX(INDIRECT(U25),MATCH(AchtzigmLaufGerundet[[#This Row],[Rundung]],INDIRECT(U25),U$18)))))</f>
        <v/>
      </c>
      <c r="X25" s="18" t="str">
        <f ca="1">IF(AchtzigmLaufSkalawert[[#This Row],[Skala-Wert]]="","",REPLACE(INDEX(StdDisziplinen[TabÜberschriftNote],Q$3),FIND("X",INDEX(StdDisziplinen[TabÜberschriftNote],Q$3),1),2,T25))</f>
        <v/>
      </c>
      <c r="Y25" s="31" t="str">
        <f ca="1">IF(OR(X25="",AchtzigmLaufSkalawert[[#This Row],[Skala-Wert]]=Stammdaten!$AX$19),"",INDEX(INDIRECT(X25),MATCH(AchtzigmLaufSkalawert[[#This Row],[Skala-Wert]],INDIRECT(U25),0)))</f>
        <v/>
      </c>
      <c r="Z25" s="31"/>
      <c r="AA25" s="37"/>
      <c r="AB25" s="190"/>
      <c r="AC25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5" s="191" t="str">
        <f>IF(OR(Geschlecht[[#This Row],[Geschlecht (Skala)]]="",AA$16=""),"",MID(Geschlecht[[#This Row],[Geschlecht (Skala)]],1,1)&amp;MID(AA$16,1,1))</f>
        <v/>
      </c>
      <c r="AE25" s="190" t="str">
        <f>IF(OR(AD25="",ZwölfMinLaufHalleResultat[[#This Row],[Resultat]]=""),"",REPLACE(INDEX(StdDisziplinen[TabÜberschriftResultat],AA$3),FIND("X",INDEX(StdDisziplinen[TabÜberschriftResultat],AA$3),1),2,AD25))</f>
        <v/>
      </c>
      <c r="AF25" s="31" t="str">
        <f ca="1">IF(AE25="","",IF(OR(ZwölfMinLaufHalleResultat[[#This Row],[Resultat]]=Stammdaten!$AX$22,ZwölfMinLaufHalleResultat[[#This Row],[Resultat]]=Stammdaten!$AX$19),Stammdaten!$AX$19,IF(ISNA(INDEX(INDIRECT(AE25),MATCH(ZwölfMinLaufHalleGerundet[[#This Row],[Rundung]],INDIRECT(AE25),AE$18))),IF(AE$18=-1,LARGE(INDIRECT(AE25),1),SMALL(INDIRECT(AE25),1)),INDEX(INDIRECT(AE25),MATCH(ZwölfMinLaufHalleGerundet[[#This Row],[Rundung]],INDIRECT(AE25),AE$18)))))</f>
        <v/>
      </c>
      <c r="AH25" s="18" t="str">
        <f ca="1">IF(ZwölfMinLaufHalleSkalawert[[#This Row],[Skala-Wert]]="","",REPLACE(INDEX(StdDisziplinen[TabÜberschriftNote],AA$3),FIND("X",INDEX(StdDisziplinen[TabÜberschriftNote],AA$3),1),2,AD25))</f>
        <v/>
      </c>
      <c r="AI25" s="31" t="str">
        <f ca="1">IF(OR(AH25="",ZwölfMinLaufHalleSkalawert[[#This Row],[Skala-Wert]]=Stammdaten!$AX$19),"",INDEX(INDIRECT(AH25),MATCH(ZwölfMinLaufHalleSkalawert[[#This Row],[Skala-Wert]],INDIRECT(AE25),0)))</f>
        <v/>
      </c>
      <c r="AJ25" s="31"/>
      <c r="AK25" s="597"/>
      <c r="AL25" s="190"/>
      <c r="AM25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5" s="191" t="str">
        <f>IF(OR(Geschlecht[[#This Row],[Geschlecht (Skala)]]="",AK$16=""),"",MID(Geschlecht[[#This Row],[Geschlecht (Skala)]],1,1)&amp;MID(AK$16,1,1))</f>
        <v/>
      </c>
      <c r="AO25" s="190" t="str">
        <f>IF(OR(AN25="",ZwölfMinLaufimFreienResultat[[#This Row],[Resultat]]=""),"",REPLACE(INDEX(StdDisziplinen[TabÜberschriftResultat],AK$3),FIND("X",INDEX(StdDisziplinen[TabÜberschriftResultat],AK$3),1),2,AN25))</f>
        <v/>
      </c>
      <c r="AP25" s="192" t="str">
        <f ca="1">IF(AO25="","",IF(OR(ZwölfMinLaufimFreienResultat[[#This Row],[Resultat]]=Stammdaten!$AX$22,ZwölfMinLaufimFreienResultat[[#This Row],[Resultat]]=Stammdaten!$AX$19),Stammdaten!$AX$19,IF(ISNA(INDEX(INDIRECT(AO25),MATCH(ZwölfMinLaufimFreienGerundet[[#This Row],[Rundung]],INDIRECT(AO25),AO$18))),IF(AO$18=-1,LARGE(INDIRECT(AO25),1),SMALL(INDIRECT(AO25),1)),INDEX(INDIRECT(AO25),MATCH(ZwölfMinLaufimFreienGerundet[[#This Row],[Rundung]],INDIRECT(AO25),AO$18)))))</f>
        <v/>
      </c>
      <c r="AR25" s="18" t="str">
        <f ca="1">IF(ZwölfMinLaufimFreienSkalawert[[#This Row],[Skala-Wert]]="","",REPLACE(INDEX(StdDisziplinen[TabÜberschriftNote],AK$3),FIND("X",INDEX(StdDisziplinen[TabÜberschriftNote],AK$3),1),2,AN25))</f>
        <v/>
      </c>
      <c r="AS25" s="31" t="str">
        <f ca="1">IF(OR(AR25="",ZwölfMinLaufimFreienSkalawert[[#This Row],[Skala-Wert]]=Stammdaten!$AX$19),"",INDEX(INDIRECT(AR25),MATCH(ZwölfMinLaufimFreienSkalawert[[#This Row],[Skala-Wert]],INDIRECT(AO25),0)))</f>
        <v/>
      </c>
      <c r="AT25" s="31"/>
      <c r="AU25" s="597"/>
      <c r="AV25" s="190"/>
      <c r="AW25" s="587">
        <f>IF(AW$16,IF(AX$16=0.5,MROUND(HochsprungResultat[[#This Row],[Resultat]],AX$16),ROUND(HochsprungResultat[[#This Row],[Resultat]],AX$16)),ROUNDDOWN(HochsprungResultat[[#This Row],[Resultat]],AX$16))</f>
        <v>0</v>
      </c>
      <c r="AX25" s="191" t="str">
        <f>IF(OR(Geschlecht[[#This Row],[Geschlecht (Skala)]]="",AU$16=""),"",MID(Geschlecht[[#This Row],[Geschlecht (Skala)]],1,1)&amp;MID(AU$16,1,1))</f>
        <v/>
      </c>
      <c r="AY25" s="190" t="str">
        <f>IF(OR(AX25="",HochsprungResultat[[#This Row],[Resultat]]=""),"",REPLACE(INDEX(StdDisziplinen[TabÜberschriftResultat],AU$3),FIND("X",INDEX(StdDisziplinen[TabÜberschriftResultat],AU$3),1),2,AX25))</f>
        <v/>
      </c>
      <c r="AZ25" s="192" t="str">
        <f ca="1">IF(AY25="","",IF(OR(HochsprungResultat[[#This Row],[Resultat]]=Stammdaten!$AX$22,HochsprungResultat[[#This Row],[Resultat]]=Stammdaten!$AX$19),Stammdaten!$AX$19,IF(ISNA(INDEX(INDIRECT(AY25),MATCH(HochsprungGerundet[[#This Row],[Rundung]],INDIRECT(AY25),AY$18))),IF(AY$18=-1,LARGE(INDIRECT(AY25),1),SMALL(INDIRECT(AY25),1)),INDEX(INDIRECT(AY25),MATCH(HochsprungGerundet[[#This Row],[Rundung]],INDIRECT(AY25),AY$18)))))</f>
        <v/>
      </c>
      <c r="BB25" s="18" t="str">
        <f ca="1">IF(HochsprungSkalawert[[#This Row],[Skala-Wert]]="","",REPLACE(INDEX(StdDisziplinen[TabÜberschriftNote],AU$3),FIND("X",INDEX(StdDisziplinen[TabÜberschriftNote],AU$3),1),2,AX25))</f>
        <v/>
      </c>
      <c r="BC25" s="31" t="str">
        <f ca="1">IF(OR(BB25="",HochsprungSkalawert[[#This Row],[Skala-Wert]]=Stammdaten!$AX$19),"",INDEX(INDIRECT(BB25),MATCH(HochsprungSkalawert[[#This Row],[Skala-Wert]],INDIRECT(AY25),0)))</f>
        <v/>
      </c>
      <c r="BD25" s="31"/>
      <c r="BE25" s="597"/>
      <c r="BF25" s="190"/>
      <c r="BG25" s="587">
        <f>IF(BG$16,IF(BH$16=0.5,MROUND(WeitsprungResultat[[#This Row],[Resultat]],BH$16),ROUND(WeitsprungResultat[[#This Row],[Resultat]],BH$16)),ROUNDDOWN(WeitsprungResultat[[#This Row],[Resultat]],BH$16))</f>
        <v>0</v>
      </c>
      <c r="BH25" s="191" t="str">
        <f>IF(OR(Geschlecht[[#This Row],[Geschlecht (Skala)]]="",BE$16=""),"",MID(Geschlecht[[#This Row],[Geschlecht (Skala)]],1,1)&amp;MID(BE$16,1,1))</f>
        <v/>
      </c>
      <c r="BI25" s="190" t="str">
        <f>IF(OR(BH25="",WeitsprungResultat[[#This Row],[Resultat]]=""),"",REPLACE(INDEX(StdDisziplinen[TabÜberschriftResultat],BE$3),FIND("X",INDEX(StdDisziplinen[TabÜberschriftResultat],BE$3),1),2,BH25))</f>
        <v/>
      </c>
      <c r="BJ25" s="192" t="str">
        <f ca="1">IF(BI25="","",IF(OR(WeitsprungResultat[[#This Row],[Resultat]]=Stammdaten!$AX$22,WeitsprungResultat[[#This Row],[Resultat]]=Stammdaten!$AX$19),Stammdaten!$AX$19,IF(ISNA(INDEX(INDIRECT(BI25),MATCH(WeitsprungGerundet[[#This Row],[Rundung]],INDIRECT(BI25),BI$18))),IF(BI$18=-1,LARGE(INDIRECT(BI25),1),SMALL(INDIRECT(BI25),1)),INDEX(INDIRECT(BI25),MATCH(WeitsprungGerundet[[#This Row],[Rundung]],INDIRECT(BI25),BI$18)))))</f>
        <v/>
      </c>
      <c r="BL25" s="18" t="str">
        <f ca="1">IF(WeitsprungSkalawert[[#This Row],[Skala-Wert]]="","",REPLACE(INDEX(StdDisziplinen[TabÜberschriftNote],BE$3),FIND("X",INDEX(StdDisziplinen[TabÜberschriftNote],BE$3),1),2,BH25))</f>
        <v/>
      </c>
      <c r="BM25" s="31" t="str">
        <f ca="1">IF(OR(BL25="",WeitsprungSkalawert[[#This Row],[Skala-Wert]]=Stammdaten!$AX$19),"",INDEX(INDIRECT(BL25),MATCH(WeitsprungSkalawert[[#This Row],[Skala-Wert]],INDIRECT(BI25),0)))</f>
        <v/>
      </c>
      <c r="BN25" s="31"/>
      <c r="BO25" s="37"/>
      <c r="BP25" s="190"/>
      <c r="BQ25" s="154">
        <f>IF(BQ$16,IF(BR$16=0.5,MROUND(BallwurfResultat[[#This Row],[Resultat]],BR$16),ROUND(BallwurfResultat[[#This Row],[Resultat]],BR$16)),ROUNDDOWN(BallwurfResultat[[#This Row],[Resultat]],BR$16))</f>
        <v>0</v>
      </c>
      <c r="BR25" s="191" t="str">
        <f>IF(OR(Geschlecht[[#This Row],[Geschlecht (Skala)]]="",BO$16=""),"",MID(Geschlecht[[#This Row],[Geschlecht (Skala)]],1,1)&amp;MID(BO$16,1,1))</f>
        <v/>
      </c>
      <c r="BS25" s="190" t="str">
        <f>IF(OR(BR25="",BallwurfResultat[[#This Row],[Resultat]]=""),"",REPLACE(INDEX(StdDisziplinen[TabÜberschriftResultat],BO$3),FIND("X",INDEX(StdDisziplinen[TabÜberschriftResultat],BO$3),1),2,BR25))</f>
        <v/>
      </c>
      <c r="BT25" s="45" t="str">
        <f ca="1">IF(BS25="","",IF(OR(BallwurfResultat[[#This Row],[Resultat]]=Stammdaten!$AX$22,BallwurfResultat[[#This Row],[Resultat]]=Stammdaten!$AX$19),Stammdaten!$AX$19,IF(ISNA(INDEX(INDIRECT(BS25),MATCH(BallwurfGerundet[[#This Row],[Rundung]],INDIRECT(BS25),BS$18))),IF(BS$18=-1,LARGE(INDIRECT(BS25),1),SMALL(INDIRECT(BS25),1)),INDEX(INDIRECT(BS25),MATCH(BallwurfGerundet[[#This Row],[Rundung]],INDIRECT(BS25),BS$18)))))</f>
        <v/>
      </c>
      <c r="BV25" s="18" t="str">
        <f ca="1">IF(BallwurfSkalawert[[#This Row],[Skala-Wert]]="","",REPLACE(INDEX(StdDisziplinen[TabÜberschriftNote],BO$3),FIND("X",INDEX(StdDisziplinen[TabÜberschriftNote],BO$3),1),2,BR25))</f>
        <v/>
      </c>
      <c r="BW25" s="31" t="str">
        <f ca="1">IF(OR(BV25="",BallwurfSkalawert[[#This Row],[Skala-Wert]]=Stammdaten!$AX$19),"",INDEX(INDIRECT(BV25),MATCH(BallwurfSkalawert[[#This Row],[Skala-Wert]],INDIRECT(BS25),0)))</f>
        <v/>
      </c>
      <c r="BX25" s="31"/>
      <c r="BY25" s="598"/>
      <c r="BZ25" s="190"/>
      <c r="CA25" s="154">
        <f>IF(CA$16,IF(CB$16=0.5,MROUND(KugelstossenResultat[[#This Row],[Resultat]],CB$16),ROUND(KugelstossenResultat[[#This Row],[Resultat]],CB$16)),ROUNDDOWN(KugelstossenResultat[[#This Row],[Resultat]],CB$16))</f>
        <v>0</v>
      </c>
      <c r="CB25" s="191" t="str">
        <f>IF(OR(Geschlecht[[#This Row],[Geschlecht (Skala)]]="",BY$16=""),"",MID(Geschlecht[[#This Row],[Geschlecht (Skala)]],1,1)&amp;MID(BY$16,1,1))</f>
        <v/>
      </c>
      <c r="CC25" s="190" t="str">
        <f>IF(OR(CB25="",KugelstossenResultat[[#This Row],[Resultat]]=""),"",REPLACE(INDEX(StdDisziplinen[TabÜberschriftResultat],BY$3),FIND("X",INDEX(StdDisziplinen[TabÜberschriftResultat],BY$3),1),2,CB25))</f>
        <v/>
      </c>
      <c r="CD25" s="45" t="str">
        <f ca="1">IF(CC25="","",IF(OR(KugelstossenResultat[[#This Row],[Resultat]]=Stammdaten!$AX$22,KugelstossenResultat[[#This Row],[Resultat]]=Stammdaten!$AX$19),Stammdaten!$AX$19,IF(ISNA(INDEX(INDIRECT(CC25),MATCH(KugelstossenGerundet[[#This Row],[Rundung]],INDIRECT(CC25),CC$18))),IF(CC$18=-1,LARGE(INDIRECT(CC25),1),SMALL(INDIRECT(CC25),1)),INDEX(INDIRECT(CC25),MATCH(KugelstossenGerundet[[#This Row],[Rundung]],INDIRECT(CC25),CC$18)))))</f>
        <v/>
      </c>
      <c r="CF25" s="18" t="str">
        <f ca="1">IF(KugelstossenSkalawert[[#This Row],[Skala-Wert]]="","",REPLACE(INDEX(StdDisziplinen[TabÜberschriftNote],BY$3),FIND("X",INDEX(StdDisziplinen[TabÜberschriftNote],BY$3),1),2,CB25))</f>
        <v/>
      </c>
      <c r="CG25" s="31" t="str">
        <f ca="1">IF(OR(CF25="",KugelstossenSkalawert[[#This Row],[Skala-Wert]]=Stammdaten!$AX$19),"",INDEX(INDIRECT(CF25),MATCH(KugelstossenSkalawert[[#This Row],[Skala-Wert]],INDIRECT(CC25),0)))</f>
        <v/>
      </c>
      <c r="CH25" s="31"/>
      <c r="CI25" s="37"/>
      <c r="CJ25" s="190"/>
      <c r="CK25" s="154">
        <f>IF(CK$16,IF(CL$16=0.5,MROUND(SpeerwurfResultat[[#This Row],[Resultat]],CL$16),ROUND(SpeerwurfResultat[[#This Row],[Resultat]],CL$16)),ROUNDDOWN(SpeerwurfResultat[[#This Row],[Resultat]],CL$16))</f>
        <v>0</v>
      </c>
      <c r="CL25" s="191" t="str">
        <f>IF(OR(Geschlecht[[#This Row],[Geschlecht (Skala)]]="",CI$16=""),"",MID(Geschlecht[[#This Row],[Geschlecht (Skala)]],1,1)&amp;MID(CI$16,1,1))</f>
        <v/>
      </c>
      <c r="CM25" s="190" t="str">
        <f>IF(OR(CL25="",SpeerwurfResultat[[#This Row],[Resultat]]=""),"",REPLACE(INDEX(StdDisziplinen[TabÜberschriftResultat],CI$3),FIND("X",INDEX(StdDisziplinen[TabÜberschriftResultat],CI$3),1),2,CL25))</f>
        <v/>
      </c>
      <c r="CN25" s="45" t="str">
        <f ca="1">IF(CM25="","",IF(OR(SpeerwurfResultat[[#This Row],[Resultat]]=Stammdaten!$AX$22,SpeerwurfResultat[[#This Row],[Resultat]]=Stammdaten!$AX$19),Stammdaten!$AX$19,IF(ISNA(INDEX(INDIRECT(CM25),MATCH(SpeerwurfGerundet[[#This Row],[Rundung]],INDIRECT(CM25),CM$18))),IF(CM$18=-1,LARGE(INDIRECT(CM25),1),SMALL(INDIRECT(CM25),1)),INDEX(INDIRECT(CM25),MATCH(SpeerwurfGerundet[[#This Row],[Rundung]],INDIRECT(CM25),CM$18)))))</f>
        <v/>
      </c>
      <c r="CP25" s="18" t="str">
        <f ca="1">IF(SpeerwurfSkalawert[[#This Row],[Skala-Wert]]="","",REPLACE(INDEX(StdDisziplinen[TabÜberschriftNote],CI$3),FIND("X",INDEX(StdDisziplinen[TabÜberschriftNote],CI$3),1),2,CL25))</f>
        <v/>
      </c>
      <c r="CQ25" s="31" t="str">
        <f ca="1">IF(OR(CP25="",SpeerwurfSkalawert[[#This Row],[Skala-Wert]]=Stammdaten!$AX$19),"",INDEX(INDIRECT(CP25),MATCH(SpeerwurfSkalawert[[#This Row],[Skala-Wert]],INDIRECT(CM25),0)))</f>
        <v/>
      </c>
      <c r="CR25" s="31"/>
      <c r="CS25" s="31" t="str">
        <f t="shared" ca="1" si="50"/>
        <v/>
      </c>
      <c r="CT25" s="31" t="str">
        <f t="shared" ca="1" si="50"/>
        <v/>
      </c>
      <c r="CU25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Row],[Skala-Wert]])&gt;0,MAX(CS25:CT25),99))</f>
        <v>Keine Note</v>
      </c>
      <c r="CV25" s="202" t="str">
        <f t="shared" ca="1" si="51"/>
        <v/>
      </c>
      <c r="CW25" s="202" t="str">
        <f ca="1">IF(CV25=$A$2,CS$10&amp;Stammdaten!$AX$25,IF(CU25=INDEX(StdFehler[],3),CS$10&amp;Stammdaten!$AX$27,INDEX(INDIRECT($B$4),MATCH(CV25,INDIRECT($B$5),0))))</f>
        <v>Sprintdisziplinen nicht durchgeführt</v>
      </c>
      <c r="CX25" s="202" t="str">
        <f ca="1">IFERROR(INDEX(INDIRECT(CX$12),MATCH(CV25,StdDisziplinen[ID],0)),"")</f>
        <v/>
      </c>
      <c r="CY25" s="202" t="e">
        <f t="shared" ca="1" si="52"/>
        <v>#N/A</v>
      </c>
      <c r="CZ25" s="202" t="e">
        <f t="shared" ca="1" si="53"/>
        <v>#N/A</v>
      </c>
      <c r="DA25" s="98" t="str">
        <f t="shared" ca="1" si="223"/>
        <v/>
      </c>
      <c r="DB25" s="202" t="e">
        <f t="shared" ca="1" si="54"/>
        <v>#N/A</v>
      </c>
      <c r="DC25" s="202" t="str">
        <f t="shared" ca="1" si="55"/>
        <v/>
      </c>
      <c r="DD25" s="31" t="str">
        <f t="shared" ca="1" si="56"/>
        <v/>
      </c>
      <c r="DE25" s="31" t="str">
        <f t="shared" ca="1" si="56"/>
        <v/>
      </c>
      <c r="DF25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Row],[Skala-Wert]])&gt;0,MAX(DD25:DE25),99))</f>
        <v>Keine Note</v>
      </c>
      <c r="DG25" s="202" t="str">
        <f t="shared" ca="1" si="57"/>
        <v/>
      </c>
      <c r="DH25" s="202" t="str">
        <f ca="1">IF(DG25=$A$2,DD$10&amp;Stammdaten!$AX$25,IF(DF25=INDEX(StdFehler[],3),DD$10&amp;Stammdaten!$AX$27,INDEX(INDIRECT($B$4),MATCH(DG25,INDIRECT($B$5),0))))</f>
        <v>Ausdauerdisziplinen nicht durchgeführt</v>
      </c>
      <c r="DI25" s="202" t="str">
        <f ca="1">IFERROR(INDEX(INDIRECT(DI$12),MATCH(DG25,StdDisziplinen[ID],0)),"")</f>
        <v/>
      </c>
      <c r="DJ25" s="202" t="e">
        <f t="shared" ca="1" si="58"/>
        <v>#N/A</v>
      </c>
      <c r="DK25" s="202" t="e">
        <f t="shared" ca="1" si="59"/>
        <v>#N/A</v>
      </c>
      <c r="DL25" s="96" t="str">
        <f t="shared" ca="1" si="60"/>
        <v/>
      </c>
      <c r="DM25" s="202" t="e">
        <f t="shared" ca="1" si="61"/>
        <v>#N/A</v>
      </c>
      <c r="DN25" s="202" t="str">
        <f t="shared" ca="1" si="62"/>
        <v/>
      </c>
      <c r="DO25" s="31" t="str">
        <f t="shared" ca="1" si="63"/>
        <v/>
      </c>
      <c r="DP25" s="31" t="str">
        <f t="shared" ca="1" si="63"/>
        <v/>
      </c>
      <c r="DQ25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Row],[Skala-Wert]])&gt;0,MAX(DO25:DP25),99))</f>
        <v>Keine Note</v>
      </c>
      <c r="DR25" s="202" t="str">
        <f t="shared" ca="1" si="64"/>
        <v/>
      </c>
      <c r="DS25" s="202" t="str">
        <f ca="1">IF(DR25=$A$2,DO$10&amp;Stammdaten!$AX$25,IF(DQ25=INDEX(StdFehler[],3),DO$10&amp;Stammdaten!$AX$27,INDEX(INDIRECT($B$4),MATCH(DR25,INDIRECT($B$5),0))))</f>
        <v>Sprungdisziplinen nicht durchgeführt</v>
      </c>
      <c r="DT25" s="202" t="str">
        <f ca="1">IFERROR(INDEX(INDIRECT(DT$12),MATCH(DR25,StdDisziplinen[ID],0)),"")</f>
        <v/>
      </c>
      <c r="DU25" s="202" t="e">
        <f t="shared" ca="1" si="65"/>
        <v>#N/A</v>
      </c>
      <c r="DV25" s="202" t="e">
        <f t="shared" ca="1" si="66"/>
        <v>#N/A</v>
      </c>
      <c r="DW25" s="202" t="str">
        <f t="shared" ca="1" si="67"/>
        <v/>
      </c>
      <c r="DX25" s="202" t="e">
        <f t="shared" ca="1" si="68"/>
        <v>#N/A</v>
      </c>
      <c r="DY25" s="202" t="str">
        <f t="shared" ca="1" si="69"/>
        <v/>
      </c>
      <c r="DZ25" s="31" t="str">
        <f ca="1">IF(BallwurfSkalawert[[#This Row],[Skala-Wert]]=$A$3,$A$2,IF(ISNUMBER(BallwurfSkalawert[[#This Row],[Skala-Wert]]),BallwurfNote[[#This Row],[Note]],"!"))</f>
        <v>!</v>
      </c>
      <c r="EA25" s="31" t="str">
        <f ca="1">IF(KugelstossenSkalawert[[#This Row],[Skala-Wert]]=$A$3,$A$2,IF(ISNUMBER(KugelstossenSkalawert[[#This Row],[Skala-Wert]]),KugelstossenNote[[#This Row],[Note]],"!"))</f>
        <v>!</v>
      </c>
      <c r="EB25" s="31" t="str">
        <f ca="1">IF(SpeerwurfSkalawert[[#This Row],[Skala-Wert]]=$A$3,$A$2,IF(ISNUMBER(SpeerwurfSkalawert[[#This Row],[Skala-Wert]]),SpeerwurfNote[[#This Row],[Note]],"!"))</f>
        <v>!</v>
      </c>
      <c r="EC25" s="95" t="str">
        <f ca="1">IF(ED25&gt;0,MAX(DZ25:EB25),IF(EE25&gt;0,99,INDEX(StdFehler[StdFehler],3)))</f>
        <v>Keine Note</v>
      </c>
      <c r="ED25" s="202">
        <f t="shared" ca="1" si="70"/>
        <v>0</v>
      </c>
      <c r="EE25" s="202">
        <f t="shared" ca="1" si="71"/>
        <v>0</v>
      </c>
      <c r="EF25" s="202" t="str">
        <f t="shared" ca="1" si="72"/>
        <v/>
      </c>
      <c r="EG25" s="202" t="str">
        <f ca="1">IF(EF25=$A$2,DZ$10&amp;Stammdaten!$AX$25,IF(EC25=INDEX(StdFehler[],3),DZ$10&amp;Stammdaten!$AX$27,INDEX(INDIRECT($B$4),MATCH(EF25,INDIRECT($B$5),0))))</f>
        <v>Wurfdisziplinen nicht durchgeführt</v>
      </c>
      <c r="EH25" s="202" t="str">
        <f ca="1">IFERROR(INDEX(INDIRECT(EH$12),MATCH(EF25,StdDisziplinen[ID],0)),"")</f>
        <v/>
      </c>
      <c r="EI25" s="202" t="e">
        <f t="shared" ca="1" si="73"/>
        <v>#N/A</v>
      </c>
      <c r="EJ25" s="202" t="e">
        <f t="shared" ca="1" si="74"/>
        <v>#N/A</v>
      </c>
      <c r="EK25" s="98" t="str">
        <f t="shared" ca="1" si="75"/>
        <v/>
      </c>
      <c r="EL25" s="202" t="e">
        <f t="shared" ca="1" si="76"/>
        <v>#N/A</v>
      </c>
      <c r="EM25" s="202" t="str">
        <f t="shared" ca="1" si="77"/>
        <v/>
      </c>
      <c r="EN25" s="200">
        <f t="shared" ca="1" si="1"/>
        <v>0</v>
      </c>
      <c r="EO25" s="202">
        <f t="shared" ca="1" si="78"/>
        <v>0</v>
      </c>
      <c r="EP25" s="96">
        <f t="shared" ca="1" si="2"/>
        <v>0</v>
      </c>
      <c r="EQ25" s="96">
        <f t="shared" ca="1" si="3"/>
        <v>0</v>
      </c>
      <c r="ER25" s="96">
        <f t="shared" ca="1" si="4"/>
        <v>0</v>
      </c>
      <c r="ES25" s="96">
        <f t="shared" ca="1" si="5"/>
        <v>0</v>
      </c>
      <c r="ET25" s="202">
        <f t="shared" ca="1" si="79"/>
        <v>0</v>
      </c>
      <c r="EU25" s="202" t="str">
        <f ca="1">IF($EO25=$FA$4,Stammdaten!$AX$19,IF(COUNTIF($EP25:$ES25,0)&lt;&gt;0,INDEX(StdFehler[StdFehler],4),ROUND(SUM($ET25/$EN25)/$FC$4,0)*$FC$4))</f>
        <v>Zu wenige Noten</v>
      </c>
      <c r="EV25" s="202" t="str">
        <f t="shared" ca="1" si="6"/>
        <v>Zu wenige Noten</v>
      </c>
      <c r="EW25" s="202" t="str">
        <f t="shared" ca="1" si="80"/>
        <v>Zu wenige Noten</v>
      </c>
      <c r="EX25" s="202" t="str">
        <f t="shared" ca="1" si="80"/>
        <v>Zu wenige Noten</v>
      </c>
      <c r="EY25" s="202" t="str">
        <f t="shared" ca="1" si="80"/>
        <v>Zu wenige Noten</v>
      </c>
      <c r="EZ25" s="202" t="str">
        <f t="shared" ca="1" si="81"/>
        <v>Zu wenige Noten</v>
      </c>
      <c r="FA25" s="202" t="str">
        <f t="shared" ca="1" si="82"/>
        <v>Zu wenige Noten</v>
      </c>
      <c r="FB25" s="31"/>
      <c r="FC25" s="56" t="str">
        <f t="shared" ca="1" si="83"/>
        <v>Zu wenige Noten</v>
      </c>
      <c r="FD25" s="31"/>
      <c r="FE25" s="597"/>
      <c r="FF25" s="190"/>
      <c r="FJ25" s="31"/>
      <c r="FK25" s="597"/>
      <c r="FL25" s="190"/>
      <c r="FP25" s="31"/>
      <c r="FQ25" s="597"/>
      <c r="FR25" s="190"/>
      <c r="FV25" s="31"/>
      <c r="FW25" s="597"/>
      <c r="FX25" s="190"/>
      <c r="GB25" s="31"/>
      <c r="GC25" s="597"/>
      <c r="GD25" s="190"/>
      <c r="GF25" s="154"/>
      <c r="GH25" s="31"/>
      <c r="GI25" s="597"/>
      <c r="GJ25" s="190"/>
      <c r="GN25" s="45"/>
      <c r="GO25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5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5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5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5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5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5" s="202">
        <f t="shared" si="7"/>
        <v>0</v>
      </c>
      <c r="GV25" s="202">
        <f t="shared" si="8"/>
        <v>0</v>
      </c>
      <c r="GW25" s="202">
        <f t="shared" si="84"/>
        <v>0</v>
      </c>
      <c r="GX25" s="200" t="str">
        <f t="shared" si="85"/>
        <v>!</v>
      </c>
      <c r="GY25" s="200" t="str">
        <f t="shared" si="9"/>
        <v>!</v>
      </c>
      <c r="GZ25" s="200" t="str">
        <f t="shared" si="10"/>
        <v>!</v>
      </c>
      <c r="HA25" s="244" t="str">
        <f t="shared" si="86"/>
        <v>nd</v>
      </c>
      <c r="HB25" s="244" t="str">
        <f t="shared" si="87"/>
        <v>nd</v>
      </c>
      <c r="HC25" s="244" t="str">
        <f t="shared" si="88"/>
        <v>nd</v>
      </c>
      <c r="HD25" s="244" t="str">
        <f t="shared" si="89"/>
        <v>nd</v>
      </c>
      <c r="HE25" s="244" t="str">
        <f t="shared" si="90"/>
        <v>nd</v>
      </c>
      <c r="HF25" s="244" t="str">
        <f t="shared" si="91"/>
        <v>nd</v>
      </c>
      <c r="HG25" s="202" t="b">
        <f t="shared" si="92"/>
        <v>0</v>
      </c>
      <c r="HH25" s="202">
        <f t="shared" si="93"/>
        <v>1</v>
      </c>
      <c r="HI25" s="202">
        <f t="shared" si="94"/>
        <v>0</v>
      </c>
      <c r="HJ25" s="200" t="str">
        <f t="shared" si="95"/>
        <v/>
      </c>
      <c r="HK25" s="200" t="str">
        <f t="shared" si="96"/>
        <v/>
      </c>
      <c r="HL25" s="200">
        <f t="shared" si="97"/>
        <v>0</v>
      </c>
      <c r="HM25" s="202" t="str">
        <f t="shared" si="98"/>
        <v/>
      </c>
      <c r="HN25" s="200" t="str">
        <f t="shared" si="99"/>
        <v/>
      </c>
      <c r="HO25" s="200" t="str">
        <f t="shared" si="100"/>
        <v/>
      </c>
      <c r="HP25" s="200" t="str">
        <f t="shared" si="101"/>
        <v/>
      </c>
      <c r="HQ25" s="242" t="str">
        <f t="shared" si="102"/>
        <v/>
      </c>
      <c r="HR25" s="242" t="str">
        <f t="shared" si="103"/>
        <v/>
      </c>
      <c r="HS25" s="242" t="str">
        <f t="shared" si="104"/>
        <v/>
      </c>
      <c r="HT25" s="242" t="str">
        <f t="shared" ca="1" si="105"/>
        <v>Erstes Gerät</v>
      </c>
      <c r="HU25" s="242" t="str">
        <f ca="1">IF(HT25=$HS$12,Stammdaten!$AY$27,IF(HW25=$A$2,TRIM(Stammdaten!$AX$25),""))</f>
        <v>nicht durchgeführt</v>
      </c>
      <c r="HV25" s="242" t="str">
        <f t="shared" ca="1" si="106"/>
        <v/>
      </c>
      <c r="HW25" s="277" t="str">
        <f t="shared" si="11"/>
        <v/>
      </c>
      <c r="HX25" s="202" t="str">
        <f t="shared" si="107"/>
        <v/>
      </c>
      <c r="HY25" s="202" t="str">
        <f t="shared" ca="1" si="108"/>
        <v/>
      </c>
      <c r="HZ25" s="202" t="str">
        <f t="shared" ca="1" si="109"/>
        <v>StdDisziplinen[MaxTextSt]</v>
      </c>
      <c r="IA25" s="202" t="str">
        <f t="shared" ca="1" si="12"/>
        <v/>
      </c>
      <c r="IB25" s="202" t="b">
        <f t="shared" si="110"/>
        <v>0</v>
      </c>
      <c r="IC25" s="202" t="str">
        <f t="shared" si="111"/>
        <v/>
      </c>
      <c r="ID25" s="202" t="str">
        <f t="shared" si="112"/>
        <v/>
      </c>
      <c r="IE25" s="202" t="str">
        <f t="shared" si="113"/>
        <v/>
      </c>
      <c r="IF25" s="202" t="str">
        <f t="shared" si="114"/>
        <v/>
      </c>
      <c r="IG25" s="242" t="str">
        <f t="shared" si="115"/>
        <v/>
      </c>
      <c r="IH25" s="242" t="str">
        <f t="shared" si="116"/>
        <v/>
      </c>
      <c r="II25" s="242" t="str">
        <f t="shared" ca="1" si="13"/>
        <v>Zweites Gerät</v>
      </c>
      <c r="IJ25" s="242" t="str">
        <f ca="1">IF(II25=$IH$12,Stammdaten!$AY$27,IF(IL25=$A$2,TRIM(Stammdaten!$AX$25),""))</f>
        <v>nicht durchgeführt</v>
      </c>
      <c r="IK25" s="242" t="str">
        <f t="shared" ca="1" si="117"/>
        <v/>
      </c>
      <c r="IL25" s="200" t="str">
        <f t="shared" si="14"/>
        <v/>
      </c>
      <c r="IM25" s="202" t="str">
        <f t="shared" si="118"/>
        <v/>
      </c>
      <c r="IN25" s="202" t="str">
        <f t="shared" ca="1" si="119"/>
        <v/>
      </c>
      <c r="IO25" s="202" t="str">
        <f t="shared" ca="1" si="120"/>
        <v>StdDisziplinen[MaxTextSt]</v>
      </c>
      <c r="IP25" s="202" t="str">
        <f t="shared" ca="1" si="121"/>
        <v/>
      </c>
      <c r="IQ25" s="202" t="b">
        <f t="shared" si="122"/>
        <v>0</v>
      </c>
      <c r="IR25" s="242" t="str">
        <f t="shared" ca="1" si="15"/>
        <v>Drittes Gerät</v>
      </c>
      <c r="IS25" s="242" t="str">
        <f ca="1">IF(IR25=$IR$12,MID(Stammdaten!$AX$27,2,LEN(Stammdaten!$AX$27)),IF(IU25=$A$2,TRIM(Stammdaten!$AX$25),""))</f>
        <v>nicht durchgeführt</v>
      </c>
      <c r="IT25" s="242" t="str">
        <f t="shared" ca="1" si="16"/>
        <v/>
      </c>
      <c r="IU25" s="200" t="str">
        <f t="shared" si="17"/>
        <v/>
      </c>
      <c r="IV25" s="202" t="str">
        <f t="shared" si="123"/>
        <v/>
      </c>
      <c r="IW25" s="202" t="str">
        <f t="shared" ca="1" si="124"/>
        <v/>
      </c>
      <c r="IX25" s="202" t="str">
        <f t="shared" ca="1" si="125"/>
        <v>StdDisziplinen[MaxTextSt]</v>
      </c>
      <c r="IY25" s="202" t="str">
        <f t="shared" ca="1" si="18"/>
        <v/>
      </c>
      <c r="IZ25" s="200" t="str">
        <f>IF(NOT(GW25),INDEX(StdFehler[StdFehler],4),IF(COUNTIF(GX25:GZ25,$A$2)&gt;=$IZ$4,$A$3,SUM(GX25:GZ25)))</f>
        <v>Zu wenige Noten</v>
      </c>
      <c r="JA25" s="31"/>
      <c r="JB25" s="587" t="e">
        <f t="shared" si="19"/>
        <v>#VALUE!</v>
      </c>
      <c r="JC25" s="191" t="str">
        <f>IF(OR(Geschlecht[[#This Row],[Geschlecht (Skala)]]="",IZ25=""),"",MID(Geschlecht[[#This Row],[Geschlecht (Skala)]],1,1)&amp;MID($FE$16,1,1))</f>
        <v/>
      </c>
      <c r="JD25" s="190" t="str">
        <f>IF(OR(JC25="",IZ25=""),"",REPLACE(INDEX(StdDisziplinen[TabÜberschriftResultat],$FE$3),FIND("X",INDEX(StdDisziplinen[TabÜberschriftResultat],$FE$3),1),2,JC25))</f>
        <v/>
      </c>
      <c r="JE25" s="192" t="str">
        <f ca="1">IF(OR(JD25="",IZ25=Stammdaten!$AZ$5),"",IF(OR(IZ25=Stammdaten!$AX$22,IZ25=Stammdaten!$AX$19),Stammdaten!$AX$19,IF(ISNA(INDEX(INDIRECT(JD25),MATCH(GeräteturnenGerundet[[#This Row],[Rundung]],INDIRECT(JD25),$JD$16))),IF($JD$16=-1,LARGE(INDIRECT(JD25),1),SMALL(INDIRECT(JD25),1)),INDEX(INDIRECT(JD25),MATCH(GeräteturnenGerundet[[#This Row],[Rundung]],INDIRECT(JD25),$JD$16)))))</f>
        <v/>
      </c>
      <c r="JG25" s="18" t="str">
        <f ca="1">IF(GeräteturnenSkalawert[[#This Row],[Skala-Wert]]="","",REPLACE(INDEX(StdDisziplinen[TabÜberschriftNote],$FE$3),FIND("X",INDEX(StdDisziplinen[TabÜberschriftNote],$FE$3),1),2,JC25))</f>
        <v/>
      </c>
      <c r="JH25" s="45" t="str">
        <f ca="1">IF(OR(JG25="",GeräteturnenSkalawert[[#This Row],[Skala-Wert]]=Stammdaten!$AX$19),"",INDEX(INDIRECT(JG25),MATCH(GeräteturnenSkalawert[[#This Row],[Skala-Wert]],INDIRECT(JD25),0)))</f>
        <v/>
      </c>
      <c r="JI25" s="31"/>
      <c r="JJ25" s="597"/>
      <c r="JK25" s="190"/>
      <c r="JL25" s="587">
        <f>IF(JL$16,IF(JM$16=0.5,MROUND(ParkourResultat[[#This Row],[Resultat]],JM$16),ROUND(ParkourResultat[[#This Row],[Resultat]],JM$16)),ROUNDDOWN(ParkourResultat[[#This Row],[Resultat]],JM$16))</f>
        <v>0</v>
      </c>
      <c r="JM25" s="191" t="str">
        <f>IF(OR(Geschlecht[[#This Row],[Geschlecht (Skala)]]="",JJ$16=""),"",MID(Geschlecht[[#This Row],[Geschlecht (Skala)]],1,1)&amp;MID(JJ$16,1,1))</f>
        <v/>
      </c>
      <c r="JN25" s="190" t="str">
        <f>IF(OR(JM25="",ParkourResultat[[#This Row],[Resultat]]=""),"",REPLACE(INDEX(StdDisziplinen[TabÜberschriftResultat],JJ$3),FIND("X",INDEX(StdDisziplinen[TabÜberschriftResultat],JJ$3),1),2,JM25))</f>
        <v/>
      </c>
      <c r="JO25" s="192" t="str">
        <f ca="1">IF(JN25="","",IF(OR(ParkourResultat[[#This Row],[Resultat]]=Stammdaten!$AX$22,ParkourResultat[[#This Row],[Resultat]]=Stammdaten!$AX$19),Stammdaten!$AX$19,IF(ISNA(INDEX(INDIRECT(JN25),MATCH(ParkourGerundet[[#This Row],[Rundung]],INDIRECT(JN25),JN$18))),IF(JN$18=-1,LARGE(INDIRECT(JN25),1),SMALL(INDIRECT(JN25),1)),INDEX(INDIRECT(JN25),MATCH(ParkourGerundet[[#This Row],[Rundung]],INDIRECT(JN25),JN$18)))))</f>
        <v/>
      </c>
      <c r="JQ25" s="18" t="str">
        <f ca="1">IF(ParkourSkalawert[[#This Row],[Skala-Wert]]="","",REPLACE(INDEX(StdDisziplinen[TabÜberschriftNote],JJ$3),FIND("X",INDEX(StdDisziplinen[TabÜberschriftNote],JJ$3),1),2,JM25))</f>
        <v/>
      </c>
      <c r="JR25" s="31" t="str">
        <f ca="1">IF(OR(JQ25="",ParkourSkalawert[[#This Row],[Skala-Wert]]=Stammdaten!$AX$19),"",INDEX(INDIRECT(JQ25),MATCH(ParkourSkalawert[[#This Row],[Skala-Wert]],INDIRECT(JN25),0)))</f>
        <v/>
      </c>
      <c r="JS25" s="96"/>
      <c r="JT25" s="47" t="str">
        <f ca="1">IF(OR(ISNUMBER(ParkourSkalawert[[#This Row],[Skala-Wert]]),ParkourSkalawert[[#This Row],[Skala-Wert]]=$A$3),INDEX(INDIRECT($JU$1),MATCH($JJ$3,INDIRECT($B$5),0)),"")</f>
        <v/>
      </c>
      <c r="JU25" s="200" t="str">
        <f t="shared" ca="1" si="126"/>
        <v>StdDisziplinen[MaxTextSt]</v>
      </c>
      <c r="JV25" s="200" t="str">
        <f t="shared" ca="1" si="127"/>
        <v/>
      </c>
      <c r="JW25" s="98">
        <f ca="1">IF(GeräteturnenSkalawert[[#This Row],[Skala-Wert]]=$A$3,$A$2,IF(GeräteturnenNote[[#This Row],[Note]]="",0,GeräteturnenNote[[#This Row],[Note]]))</f>
        <v>0</v>
      </c>
      <c r="JX25" s="96">
        <f ca="1">IF(ParkourSkalawert[[#This Row],[Skala-Wert]]=$A$3,$A$2,IF(ParkourNote[[#This Row],[Note]]="",0,ParkourNote[[#This Row],[Note]]))</f>
        <v>0</v>
      </c>
      <c r="JY25" s="200">
        <f t="shared" ca="1" si="128"/>
        <v>0</v>
      </c>
      <c r="JZ25" s="200">
        <f t="shared" ca="1" si="129"/>
        <v>0</v>
      </c>
      <c r="KA25" s="202">
        <f t="shared" ca="1" si="130"/>
        <v>0</v>
      </c>
      <c r="KB25" s="98" t="str">
        <f t="shared" ca="1" si="20"/>
        <v>!</v>
      </c>
      <c r="KC25" s="98" t="str">
        <f t="shared" ca="1" si="21"/>
        <v>!</v>
      </c>
      <c r="KD25" s="202" t="str">
        <f ca="1">IF(NOT(KA25),INDEX(StdFehler[StdFehler],4),IF(JZ25=$KA$12,$A$3,IF(JW25=$A$2,JX25,IF(JX25=$A$2,JW25,CONCATENATE(JW25,", ",JX25)))))</f>
        <v>Zu wenige Noten</v>
      </c>
      <c r="KE25" s="202" t="str">
        <f t="shared" ca="1" si="131"/>
        <v>Zu wenige Noten</v>
      </c>
      <c r="KF25" s="31"/>
      <c r="KG25" s="56" t="str">
        <f ca="1">IF(NOT(KA25),INDEX(StdFehler[StdFehler],4),IF(JZ25=$KA$12,$A$3,ROUND(AVERAGE(KB25:KC25)/$KG$4,0)*$KG$4))</f>
        <v>Zu wenige Noten</v>
      </c>
      <c r="KH25" s="31"/>
      <c r="KI25" s="599"/>
      <c r="KJ25" s="190"/>
      <c r="KK25" s="586">
        <f>IF(KK$16,IF(KL$16=0.5,MROUND(TanzenResultat[[#This Row],[Resultat]],KL$16),ROUND(TanzenResultat[[#This Row],[Resultat]],KL$16)),ROUNDDOWN(TanzenResultat[[#This Row],[Resultat]],KL$16))</f>
        <v>0</v>
      </c>
      <c r="KL25" s="191" t="str">
        <f>IF(OR(Geschlecht[[#This Row],[Geschlecht (Skala)]]="",KI$16=""),"",MID(Geschlecht[[#This Row],[Geschlecht (Skala)]],1,1)&amp;MID(KI$16,1,1))</f>
        <v/>
      </c>
      <c r="KM25" s="190" t="str">
        <f>IF(OR(KL25="",TanzenResultat[[#This Row],[Resultat]]=""),"",REPLACE(INDEX(StdDisziplinen[TabÜberschriftResultat],KI$3),FIND("X",INDEX(StdDisziplinen[TabÜberschriftResultat],KI$3),1),2,KL25))</f>
        <v/>
      </c>
      <c r="KN25" s="31" t="str">
        <f ca="1">IF(KM25="","",IF(OR(TanzenResultat[[#This Row],[Resultat]]=Stammdaten!$AX$22,TanzenResultat[[#This Row],[Resultat]]=Stammdaten!$AX$19),Stammdaten!$AX$19,IF(ISNA(INDEX(INDIRECT(KM25),MATCH(TanzenGerundet[[#This Row],[Rundung]],INDIRECT(KM25),KM$18))),IF(KM$18=-1,LARGE(INDIRECT(KM25),1),SMALL(INDIRECT(KM25),1)),INDEX(INDIRECT(KM25),MATCH(TanzenGerundet[[#This Row],[Rundung]],INDIRECT(KM25),KM$18)))))</f>
        <v/>
      </c>
      <c r="KP25" s="18" t="str">
        <f ca="1">IF(TanzenSkalawert[[#This Row],[Skala-Wert]]="","",REPLACE(INDEX(StdDisziplinen[TabÜberschriftNote],KI$3),FIND("X",INDEX(StdDisziplinen[TabÜberschriftNote],KI$3),1),2,KL25))</f>
        <v/>
      </c>
      <c r="KQ25" s="45" t="str">
        <f ca="1">IF(OR(KP25="",TanzenSkalawert[[#This Row],[Skala-Wert]]=Stammdaten!$AX$19),"",INDEX(INDIRECT(KP25),MATCH(TanzenSkalawert[[#This Row],[Skala-Wert]],INDIRECT(KM25),0)))</f>
        <v/>
      </c>
      <c r="KR25" s="31"/>
      <c r="KS25" s="597"/>
      <c r="KT25" s="190"/>
      <c r="KU25" s="587">
        <f>IF(KU$16,IF(KV$16=0.5,MROUND(RopeSkippingResultat[[#This Row],[Resultat]],KV$16),ROUND(RopeSkippingResultat[[#This Row],[Resultat]],KV$16)),ROUNDDOWN(RopeSkippingResultat[[#This Row],[Resultat]],KV$16))</f>
        <v>0</v>
      </c>
      <c r="KV25" s="191" t="str">
        <f>IF(OR(Geschlecht[[#This Row],[Geschlecht (Skala)]]="",KS$16=""),"",MID(Geschlecht[[#This Row],[Geschlecht (Skala)]],1,1)&amp;MID(KS$16,1,1))</f>
        <v/>
      </c>
      <c r="KW25" s="190" t="str">
        <f>IF(OR(KV25="",RopeSkippingResultat[[#This Row],[Resultat]]=""),"",REPLACE(INDEX(StdDisziplinen[TabÜberschriftResultat],KS$3),FIND("X",INDEX(StdDisziplinen[TabÜberschriftResultat],KS$3),1),2,KV25))</f>
        <v/>
      </c>
      <c r="KX25" s="192" t="str">
        <f ca="1">IF(KW25="","",IF(OR(RopeSkippingResultat[[#This Row],[Resultat]]=Stammdaten!$AX$22,RopeSkippingResultat[[#This Row],[Resultat]]=Stammdaten!$AX$19),Stammdaten!$AX$19,IF(ISNA(INDEX(INDIRECT(KW25),MATCH(RopeSkippingGerundet[[#This Row],[Rundung]],INDIRECT(KW25),KW$18))),IF(KW$18=-1,LARGE(INDIRECT(KW25),1),SMALL(INDIRECT(KW25),1)),INDEX(INDIRECT(KW25),MATCH(RopeSkippingGerundet[[#This Row],[Rundung]],INDIRECT(KW25),KW$18)))))</f>
        <v/>
      </c>
      <c r="KZ25" s="18" t="str">
        <f ca="1">IF(RopeSkippingSkalawert[[#This Row],[Skala-Wert]]="","",REPLACE(INDEX(StdDisziplinen[TabÜberschriftNote],KS$3),FIND("X",INDEX(StdDisziplinen[TabÜberschriftNote],KS$3),1),2,KV25))</f>
        <v/>
      </c>
      <c r="LA25" s="45" t="str">
        <f ca="1">IF(OR(KZ25="",RopeSkippingSkalawert[[#This Row],[Skala-Wert]]=Stammdaten!$AX$19),"",INDEX(INDIRECT(KZ25),MATCH(RopeSkippingSkalawert[[#This Row],[Skala-Wert]],INDIRECT(KW25),0)))</f>
        <v/>
      </c>
      <c r="LB25" s="31"/>
      <c r="LC25" s="599"/>
      <c r="LD25" s="190"/>
      <c r="LE25" s="586">
        <f>IF(LE$16,IF(LF$16=0.5,MROUND(AerobicResultat[[#This Row],[Resultat]],LF$16),ROUND(AerobicResultat[[#This Row],[Resultat]],LF$16)),ROUNDDOWN(AerobicResultat[[#This Row],[Resultat]],LF$16))</f>
        <v>0</v>
      </c>
      <c r="LF25" s="191" t="str">
        <f>IF(OR(Geschlecht[[#This Row],[Geschlecht (Skala)]]="",LC$16=""),"",MID(Geschlecht[[#This Row],[Geschlecht (Skala)]],1,1)&amp;MID(LC$16,1,1))</f>
        <v/>
      </c>
      <c r="LG25" s="190" t="str">
        <f>IF(OR(LF25="",AerobicResultat[[#This Row],[Resultat]]=""),"",REPLACE(INDEX(StdDisziplinen[TabÜberschriftResultat],LC$3),FIND("X",INDEX(StdDisziplinen[TabÜberschriftResultat],LC$3),1),2,LF25))</f>
        <v/>
      </c>
      <c r="LH25" s="31" t="str">
        <f ca="1">IF(LG25="","",IF(OR(AerobicResultat[[#This Row],[Resultat]]=Stammdaten!$AX$22,AerobicResultat[[#This Row],[Resultat]]=Stammdaten!$AX$19),Stammdaten!$AX$19,IF(ISNA(INDEX(INDIRECT(LG25),MATCH(AerobicGerundet[[#This Row],[Rundung]],INDIRECT(LG25),LG$18))),IF(LG$18=-1,LARGE(INDIRECT(LG25),1),SMALL(INDIRECT(LG25),1)),INDEX(INDIRECT(LG25),MATCH(AerobicGerundet[[#This Row],[Rundung]],INDIRECT(LG25),LG$18)))))</f>
        <v/>
      </c>
      <c r="LJ25" s="18" t="str">
        <f ca="1">IF(AerobicSkalawert[[#This Row],[Skala-Wert]]="","",REPLACE(INDEX(StdDisziplinen[TabÜberschriftNote],LC$3),FIND("X",INDEX(StdDisziplinen[TabÜberschriftNote],LC$3),1),2,LF25))</f>
        <v/>
      </c>
      <c r="LK25" s="45" t="str">
        <f ca="1">IF(OR(LJ25="",AerobicSkalawert[[#This Row],[Skala-Wert]]=Stammdaten!$AX$19),"",INDEX(INDIRECT(LJ25),MATCH(AerobicSkalawert[[#This Row],[Skala-Wert]],INDIRECT(LG25),0)))</f>
        <v/>
      </c>
      <c r="LL25" s="31"/>
      <c r="LM25" s="45" t="str">
        <f ca="1">IF(TanzenSkalawert[[#This Row],[Skala-Wert]]=$A$3,$A$2,IF(ISNUMBER(TanzenSkalawert[[#This Row],[Skala-Wert]]),TanzenNote[[#This Row],[Note]],"!"))</f>
        <v>!</v>
      </c>
      <c r="LN25" s="45" t="str">
        <f ca="1">IF(RopeSkippingSkalawert[[#This Row],[Skala-Wert]]=$A$3,$A$2,IF(ISNUMBER(RopeSkippingSkalawert[[#This Row],[Skala-Wert]]),RopeSkippingNote[[#This Row],[Note]],"!"))</f>
        <v>!</v>
      </c>
      <c r="LO25" s="45" t="str">
        <f ca="1">IF(AerobicSkalawert[[#This Row],[Skala-Wert]]=$A$3,$A$2,IF(ISNUMBER(AerobicSkalawert[[#This Row],[Skala-Wert]]),AerobicNote[[#This Row],[Note]],"!"))</f>
        <v>!</v>
      </c>
      <c r="LP25" s="36">
        <f t="shared" ca="1" si="132"/>
        <v>0</v>
      </c>
      <c r="LQ25" s="36">
        <f t="shared" ca="1" si="133"/>
        <v>0</v>
      </c>
      <c r="LR25" s="244" t="str">
        <f t="shared" ca="1" si="22"/>
        <v>nd</v>
      </c>
      <c r="LS25" s="244" t="str">
        <f t="shared" ca="1" si="23"/>
        <v>nd</v>
      </c>
      <c r="LT25" s="244" t="str">
        <f t="shared" ca="1" si="24"/>
        <v>nd</v>
      </c>
      <c r="LU25" s="242" t="str">
        <f t="shared" ca="1" si="25"/>
        <v/>
      </c>
      <c r="LV25" s="242" t="str">
        <f t="shared" ca="1" si="134"/>
        <v/>
      </c>
      <c r="LW25" s="242" t="str">
        <f t="shared" ca="1" si="135"/>
        <v/>
      </c>
      <c r="LX25" s="242" t="str">
        <f ca="1">IF(LW25="",Stammdaten!$AM$4,INDEX(INDIRECT($B$4),MATCH($LW25,INDIRECT($B$5),0)))</f>
        <v>Darstellen und Tanzen</v>
      </c>
      <c r="LY25" s="242" t="str">
        <f ca="1">IF(LW25="",Stammdaten!$AY$27,IF(ISNUMBER(LU25),LX25,IF(ISNUMBER(LV25),TRIM(Stammdaten!$AX$25),"")))</f>
        <v>nicht durchgeführt</v>
      </c>
      <c r="LZ25" s="242" t="str">
        <f t="shared" ca="1" si="136"/>
        <v>Darstellen und Tanzen</v>
      </c>
      <c r="MA25" s="242" t="str">
        <f t="shared" ca="1" si="137"/>
        <v/>
      </c>
      <c r="MB25" s="242" t="str">
        <f t="shared" ca="1" si="26"/>
        <v>Darstellen und TanzenResultat[@Resultat]</v>
      </c>
      <c r="MC25" s="274" t="str">
        <f t="shared" ca="1" si="138"/>
        <v/>
      </c>
      <c r="MD25" s="242" t="str">
        <f t="shared" ca="1" si="139"/>
        <v>Darstellen und TanzenSkalawert[@[Skala-Wert]]</v>
      </c>
      <c r="ME25" s="274" t="str">
        <f t="shared" ca="1" si="140"/>
        <v/>
      </c>
      <c r="MF25" s="47" t="str">
        <f t="shared" ca="1" si="27"/>
        <v/>
      </c>
      <c r="MG25" s="200" t="str">
        <f t="shared" ca="1" si="141"/>
        <v>StdDisziplinen[MaxTextSt]</v>
      </c>
      <c r="MH25" s="200" t="str">
        <f t="shared" ca="1" si="142"/>
        <v/>
      </c>
      <c r="MI25" s="45"/>
      <c r="MJ25" s="98" t="str">
        <f ca="1">IF(LP25&gt;0,MAX(LM25:LO25),IF(LQ25&gt;0,$A$3,INDEX(StdFehler[StdFehler],4)))</f>
        <v>Zu wenige Noten</v>
      </c>
      <c r="MK25" s="45"/>
      <c r="ML25" s="37"/>
      <c r="MM25" s="190"/>
      <c r="MN25" s="586">
        <f>IF(MN$16,IF(MO$16=0.5,MROUND(BasketballResultat[[#This Row],[Resultat]],MO$16),ROUND(BasketballResultat[[#This Row],[Resultat]],MO$16)),ROUNDDOWN(BasketballResultat[[#This Row],[Resultat]],MO$16))</f>
        <v>0</v>
      </c>
      <c r="MO25" s="191" t="str">
        <f>IF(OR(Geschlecht[[#This Row],[Geschlecht (Skala)]]="",ML$16=""),"",MID(Geschlecht[[#This Row],[Geschlecht (Skala)]],1,1)&amp;MID(ML$16,1,1))</f>
        <v/>
      </c>
      <c r="MP25" s="190" t="str">
        <f>IF(OR(MO25="",BasketballResultat[[#This Row],[Resultat]]=""),"",REPLACE(INDEX(StdDisziplinen[TabÜberschriftResultat],ML$3),FIND("X",INDEX(StdDisziplinen[TabÜberschriftResultat],ML$3),1),2,MO25))</f>
        <v/>
      </c>
      <c r="MQ25" s="31" t="str">
        <f ca="1">IF(MP25="","",IF(OR(BasketballResultat[[#This Row],[Resultat]]=Stammdaten!$AX$22,BasketballResultat[[#This Row],[Resultat]]=Stammdaten!$AX$19),Stammdaten!$AX$19,IF(ISNA(INDEX(INDIRECT(MP25),MATCH(BasketballGerundet[[#This Row],[Rundung]],INDIRECT(MP25),MP$18))),IF(MP$18=-1,LARGE(INDIRECT(MP25),1),SMALL(INDIRECT(MP25),1)),INDEX(INDIRECT(MP25),MATCH(BasketballGerundet[[#This Row],[Rundung]],INDIRECT(MP25),MP$18)))))</f>
        <v/>
      </c>
      <c r="MS25" s="18" t="str">
        <f ca="1">IF(BasketballSkalawert[[#This Row],[Skala-Wert]]="","",REPLACE(INDEX(StdDisziplinen[TabÜberschriftNote],ML$3),FIND("X",INDEX(StdDisziplinen[TabÜberschriftNote],ML$3),1),2,MO25))</f>
        <v/>
      </c>
      <c r="MT25" s="31" t="str">
        <f ca="1">IF(OR(MS25="",BasketballSkalawert[[#This Row],[Skala-Wert]]=Stammdaten!$AX$19),"",INDEX(INDIRECT(MS25),MATCH(BasketballSkalawert[[#This Row],[Skala-Wert]],INDIRECT(MP25),0)))</f>
        <v/>
      </c>
      <c r="MU25" s="31"/>
      <c r="MV25" s="37"/>
      <c r="MW25" s="190"/>
      <c r="MX25" s="586">
        <f>IF(MX$16,IF(MY$16=0.5,MROUND(FussballResultat[[#This Row],[Resultat]],MY$16),ROUND(FussballResultat[[#This Row],[Resultat]],MY$16)),ROUNDDOWN(FussballResultat[[#This Row],[Resultat]],MY$16))</f>
        <v>0</v>
      </c>
      <c r="MY25" s="191" t="str">
        <f>IF(OR(Geschlecht[[#This Row],[Geschlecht (Skala)]]="",MV$16=""),"",MID(Geschlecht[[#This Row],[Geschlecht (Skala)]],1,1)&amp;MID(MV$16,1,1))</f>
        <v/>
      </c>
      <c r="MZ25" s="190" t="str">
        <f>IF(OR(MY25="",FussballResultat[[#This Row],[Resultat]]=""),"",REPLACE(INDEX(StdDisziplinen[TabÜberschriftResultat],MV$3),FIND("X",INDEX(StdDisziplinen[TabÜberschriftResultat],MV$3),1),2,MY25))</f>
        <v/>
      </c>
      <c r="NA25" s="31" t="str">
        <f ca="1">IF(MZ25="","",IF(OR(FussballResultat[[#This Row],[Resultat]]=Stammdaten!$AX$22,FussballResultat[[#This Row],[Resultat]]=Stammdaten!$AX$19),Stammdaten!$AX$19,IF(ISNA(INDEX(INDIRECT(MZ25),MATCH(FussballGerundet[[#This Row],[Rundung]],INDIRECT(MZ25),MZ$18))),IF(MZ$18=-1,LARGE(INDIRECT(MZ25),1),SMALL(INDIRECT(MZ25),1)),INDEX(INDIRECT(MZ25),MATCH(FussballGerundet[[#This Row],[Rundung]],INDIRECT(MZ25),MZ$18)))))</f>
        <v/>
      </c>
      <c r="NC25" s="18" t="str">
        <f ca="1">IF(FussballSkalawert[[#This Row],[Skala-Wert]]="","",REPLACE(INDEX(StdDisziplinen[TabÜberschriftNote],MV$3),FIND("X",INDEX(StdDisziplinen[TabÜberschriftNote],MV$3),1),2,MY25))</f>
        <v/>
      </c>
      <c r="ND25" s="31" t="str">
        <f ca="1">IF(OR(NC25="",FussballSkalawert[[#This Row],[Skala-Wert]]=Stammdaten!$AX$19),"",INDEX(INDIRECT(NC25),MATCH(FussballSkalawert[[#This Row],[Skala-Wert]],INDIRECT(MZ25),0)))</f>
        <v/>
      </c>
      <c r="NE25" s="31"/>
      <c r="NF25" s="37"/>
      <c r="NG25" s="190"/>
      <c r="NH25" s="586">
        <f>IF(NH$16,IF(NI$16=0.5,MROUND(HandballResultat[[#This Row],[Resultat]],NI$16),ROUND(HandballResultat[[#This Row],[Resultat]],NI$16)),ROUNDDOWN(HandballResultat[[#This Row],[Resultat]],NI$16))</f>
        <v>0</v>
      </c>
      <c r="NI25" s="191" t="str">
        <f>IF(OR(Geschlecht[[#This Row],[Geschlecht (Skala)]]="",NF$16=""),"",MID(Geschlecht[[#This Row],[Geschlecht (Skala)]],1,1)&amp;MID(NF$16,1,1))</f>
        <v/>
      </c>
      <c r="NJ25" s="190" t="str">
        <f>IF(OR(NI25="",HandballResultat[[#This Row],[Resultat]]=""),"",REPLACE(INDEX(StdDisziplinen[TabÜberschriftResultat],NF$3),FIND("X",INDEX(StdDisziplinen[TabÜberschriftResultat],NF$3),1),2,NI25))</f>
        <v/>
      </c>
      <c r="NK25" s="31" t="str">
        <f ca="1">IF(NJ25="","",IF(OR(HandballResultat[[#This Row],[Resultat]]=Stammdaten!$AX$22,HandballResultat[[#This Row],[Resultat]]=Stammdaten!$AX$19),Stammdaten!$AX$19,IF(ISNA(INDEX(INDIRECT(NJ25),MATCH(HandballGerundet[[#This Row],[Rundung]],INDIRECT(NJ25),NJ$18))),IF(NJ$18=-1,LARGE(INDIRECT(NJ25),1),SMALL(INDIRECT(NJ25),1)),INDEX(INDIRECT(NJ25),MATCH(HandballGerundet[[#This Row],[Rundung]],INDIRECT(NJ25),NJ$18)))))</f>
        <v/>
      </c>
      <c r="NM25" s="18" t="str">
        <f ca="1">IF(HandballSkalawert[[#This Row],[Skala-Wert]]="","",REPLACE(INDEX(StdDisziplinen[TabÜberschriftNote],NF$3),FIND("X",INDEX(StdDisziplinen[TabÜberschriftNote],NF$3),1),2,NI25))</f>
        <v/>
      </c>
      <c r="NN25" s="31" t="str">
        <f ca="1">IF(OR(NM25="",HandballSkalawert[[#This Row],[Skala-Wert]]=Stammdaten!$AX$19),"",INDEX(INDIRECT(NM25),MATCH(HandballSkalawert[[#This Row],[Skala-Wert]],INDIRECT(NJ25),0)))</f>
        <v/>
      </c>
      <c r="NO25" s="31"/>
      <c r="NP25" s="37"/>
      <c r="NQ25" s="190"/>
      <c r="NR25" s="586">
        <f>IF(NR$16,IF(NS$16=0.5,MROUND(UnihockeyResultat[[#This Row],[Resultat]],NS$16),ROUND(UnihockeyResultat[[#This Row],[Resultat]],NS$16)),ROUNDDOWN(UnihockeyResultat[[#This Row],[Resultat]],NS$16))</f>
        <v>0</v>
      </c>
      <c r="NS25" s="191" t="str">
        <f>IF(OR(Geschlecht[[#This Row],[Geschlecht (Skala)]]="",NP$16=""),"",MID(Geschlecht[[#This Row],[Geschlecht (Skala)]],1,1)&amp;MID(NP$16,1,1))</f>
        <v/>
      </c>
      <c r="NT25" s="190" t="str">
        <f>IF(OR(NS25="",UnihockeyResultat[[#This Row],[Resultat]]=""),"",REPLACE(INDEX(StdDisziplinen[TabÜberschriftResultat],NP$3),FIND("X",INDEX(StdDisziplinen[TabÜberschriftResultat],NP$3),1),2,NS25))</f>
        <v/>
      </c>
      <c r="NU25" s="31" t="str">
        <f ca="1">IF(NT25="","",IF(OR(UnihockeyResultat[[#This Row],[Resultat]]=Stammdaten!$AX$22,UnihockeyResultat[[#This Row],[Resultat]]=Stammdaten!$AX$19),Stammdaten!$AX$19,IF(ISNA(INDEX(INDIRECT(NT25),MATCH(UnihockeyGerundet[[#This Row],[Rundung]],INDIRECT(NT25),NT$18))),IF(NT$18=-1,LARGE(INDIRECT(NT25),1),SMALL(INDIRECT(NT25),1)),INDEX(INDIRECT(NT25),MATCH(UnihockeyGerundet[[#This Row],[Rundung]],INDIRECT(NT25),NT$18)))))</f>
        <v/>
      </c>
      <c r="NW25" s="18" t="str">
        <f ca="1">IF(UnihockeySkalawert[[#This Row],[Skala-Wert]]="","",REPLACE(INDEX(StdDisziplinen[TabÜberschriftNote],NP$3),FIND("X",INDEX(StdDisziplinen[TabÜberschriftNote],NP$3),1),2,NS25))</f>
        <v/>
      </c>
      <c r="NX25" s="31" t="str">
        <f ca="1">IF(OR(NW25="",UnihockeySkalawert[[#This Row],[Skala-Wert]]=Stammdaten!$AX$19),"",INDEX(INDIRECT(NW25),MATCH(UnihockeySkalawert[[#This Row],[Skala-Wert]],INDIRECT(NT25),0)))</f>
        <v/>
      </c>
      <c r="NY25" s="31"/>
      <c r="NZ25" s="597"/>
      <c r="OA25" s="190"/>
      <c r="OB25" s="587">
        <f>IF(OB$16,IF(OC$16=0.5,MROUND(VolleyballResultat[[#This Row],[Resultat]],OC$16),ROUND(VolleyballResultat[[#This Row],[Resultat]],OC$16)),ROUNDDOWN(VolleyballResultat[[#This Row],[Resultat]],OC$16))</f>
        <v>0</v>
      </c>
      <c r="OC25" s="191" t="str">
        <f>IF(OR(Geschlecht[[#This Row],[Geschlecht (Skala)]]="",NZ$16=""),"",MID(Geschlecht[[#This Row],[Geschlecht (Skala)]],1,1)&amp;MID(NZ$16,1,1))</f>
        <v/>
      </c>
      <c r="OD25" s="190" t="str">
        <f>IF(OR(OC25="",VolleyballResultat[[#This Row],[Resultat]]=""),"",REPLACE(INDEX(StdDisziplinen[TabÜberschriftResultat],NZ$3),FIND("X",INDEX(StdDisziplinen[TabÜberschriftResultat],NZ$3),1),2,OC25))</f>
        <v/>
      </c>
      <c r="OE25" s="192" t="str">
        <f ca="1">IF(OD25="","",IF(OR(VolleyballResultat[[#This Row],[Resultat]]=Stammdaten!$AX$22,VolleyballResultat[[#This Row],[Resultat]]=Stammdaten!$AX$19),Stammdaten!$AX$19,IF(ISNA(INDEX(INDIRECT(OD25),MATCH(VolleyballGerundet[[#This Row],[Rundung]],INDIRECT(OD25),OD$18))),IF(OD$18=-1,LARGE(INDIRECT(OD25),1),SMALL(INDIRECT(OD25),1)),INDEX(INDIRECT(OD25),MATCH(VolleyballGerundet[[#This Row],[Rundung]],INDIRECT(OD25),OD$18)))))</f>
        <v/>
      </c>
      <c r="OG25" s="18" t="str">
        <f ca="1">IF(VolleyballSkalawert[[#This Row],[Skala-Wert]]="","",REPLACE(INDEX(StdDisziplinen[TabÜberschriftNote],NZ$3),FIND("X",INDEX(StdDisziplinen[TabÜberschriftNote],NZ$3),1),2,OC25))</f>
        <v/>
      </c>
      <c r="OH25" s="31" t="str">
        <f ca="1">IF(OR(OG25="",VolleyballSkalawert[[#This Row],[Skala-Wert]]=Stammdaten!$AX$19),"",INDEX(INDIRECT(OG25),MATCH(VolleyballSkalawert[[#This Row],[Skala-Wert]],INDIRECT(OD25),0)))</f>
        <v/>
      </c>
      <c r="OI25" s="45"/>
      <c r="OJ25" s="31">
        <f ca="1">IF(BasketballSkalawert[[#This Row],[Skala-Wert]]=$A$3,$A$2,IF(BasketballNote[[#This Row],[Note]]="",0,BasketballNote[[#This Row],[Note]]))</f>
        <v>0</v>
      </c>
      <c r="OK25" s="31">
        <f ca="1">IF(FussballSkalawert[[#This Row],[Skala-Wert]]=$A$3,$A$2,IF(FussballNote[[#This Row],[Note]]="",0,FussballNote[[#This Row],[Note]]))</f>
        <v>0</v>
      </c>
      <c r="OL25" s="31">
        <f ca="1">IF(HandballSkalawert[[#This Row],[Skala-Wert]]=$A$3,$A$2,IF(HandballNote[[#This Row],[Note]]="",0,HandballNote[[#This Row],[Note]]))</f>
        <v>0</v>
      </c>
      <c r="OM25" s="31">
        <f ca="1">IF(UnihockeySkalawert[[#This Row],[Skala-Wert]]=$A$3,$A$2,IF(UnihockeyNote[[#This Row],[Note]]="",0,UnihockeyNote[[#This Row],[Note]]))</f>
        <v>0</v>
      </c>
      <c r="ON25" s="31">
        <f ca="1">IF(VolleyballSkalawert[[#This Row],[Skala-Wert]]=$A$3,$A$2,IF(VolleyballNote[[#This Row],[Note]]="",0,VolleyballNote[[#This Row],[Note]]))</f>
        <v>0</v>
      </c>
      <c r="OO25" s="202">
        <f t="shared" ca="1" si="28"/>
        <v>0</v>
      </c>
      <c r="OP25" s="202">
        <f t="shared" ca="1" si="29"/>
        <v>0</v>
      </c>
      <c r="OQ25" s="202">
        <f t="shared" ca="1" si="143"/>
        <v>0</v>
      </c>
      <c r="OR25" s="96" t="str">
        <f t="shared" ca="1" si="144"/>
        <v>!</v>
      </c>
      <c r="OS25" s="96" t="str">
        <f t="shared" ca="1" si="30"/>
        <v>!</v>
      </c>
      <c r="OT25" s="96" t="str">
        <f t="shared" ca="1" si="31"/>
        <v>!</v>
      </c>
      <c r="OU25" s="96" t="str">
        <f ca="1">IF(NOT(OQ25),INDEX(StdFehler[StdFehler],4),IF(COUNTIF(OR25:OT25,$A$2)&gt;=$OQ$13,$A$3,ROUND(AVERAGE(OR25:OT25)/$RX$4,0)*$RX$4))</f>
        <v>Zu wenige Noten</v>
      </c>
      <c r="OV25" s="244" t="str">
        <f t="shared" ca="1" si="145"/>
        <v>nd</v>
      </c>
      <c r="OW25" s="244" t="str">
        <f t="shared" ca="1" si="146"/>
        <v>nd</v>
      </c>
      <c r="OX25" s="244" t="str">
        <f t="shared" ca="1" si="147"/>
        <v>nd</v>
      </c>
      <c r="OY25" s="244" t="str">
        <f t="shared" ca="1" si="148"/>
        <v>nd</v>
      </c>
      <c r="OZ25" s="244" t="str">
        <f t="shared" ca="1" si="149"/>
        <v>nd</v>
      </c>
      <c r="PA25" s="202" t="b">
        <f t="shared" ca="1" si="150"/>
        <v>0</v>
      </c>
      <c r="PB25" s="202">
        <f t="shared" ca="1" si="151"/>
        <v>1</v>
      </c>
      <c r="PC25" s="202">
        <f t="shared" ca="1" si="152"/>
        <v>0</v>
      </c>
      <c r="PD25" s="96" t="str">
        <f t="shared" ca="1" si="153"/>
        <v/>
      </c>
      <c r="PE25" s="96" t="str">
        <f t="shared" ca="1" si="154"/>
        <v/>
      </c>
      <c r="PF25" s="200">
        <f t="shared" ca="1" si="155"/>
        <v>0</v>
      </c>
      <c r="PG25" s="202" t="str">
        <f t="shared" ca="1" si="156"/>
        <v/>
      </c>
      <c r="PH25" s="200" t="str">
        <f t="shared" ca="1" si="157"/>
        <v/>
      </c>
      <c r="PI25" s="200" t="str">
        <f t="shared" ca="1" si="158"/>
        <v/>
      </c>
      <c r="PJ25" s="200" t="str">
        <f t="shared" ca="1" si="159"/>
        <v/>
      </c>
      <c r="PK25" s="242" t="str">
        <f t="shared" ca="1" si="160"/>
        <v/>
      </c>
      <c r="PL25" s="242" t="str">
        <f t="shared" ca="1" si="161"/>
        <v/>
      </c>
      <c r="PM25" s="242" t="str">
        <f t="shared" ca="1" si="162"/>
        <v/>
      </c>
      <c r="PN25" s="242" t="str">
        <f t="shared" ca="1" si="163"/>
        <v>Erste Spielsportart</v>
      </c>
      <c r="PO25" s="242" t="str">
        <f ca="1">IF(PN25=$PM$11,Stammdaten!$AY$27,IF(PR25=$A$2,TRIM(Stammdaten!$AX$25),""))</f>
        <v>nicht durchgeführt</v>
      </c>
      <c r="PP25" s="242" t="str">
        <f t="shared" ca="1" si="164"/>
        <v/>
      </c>
      <c r="PQ25" s="202" t="str">
        <f t="shared" ca="1" si="165"/>
        <v>Erste SpielsportartResultat[@Resultat]</v>
      </c>
      <c r="PR25" s="98" t="str">
        <f t="shared" ca="1" si="166"/>
        <v/>
      </c>
      <c r="PS25" s="202" t="str">
        <f t="shared" ca="1" si="167"/>
        <v/>
      </c>
      <c r="PT25" s="202" t="str">
        <f t="shared" ca="1" si="168"/>
        <v>Erste SpielsportartSkalawert[@[Skala-Wert]]</v>
      </c>
      <c r="PU25" s="98" t="str">
        <f t="shared" ca="1" si="169"/>
        <v/>
      </c>
      <c r="PV25" s="202" t="str">
        <f t="shared" ca="1" si="170"/>
        <v/>
      </c>
      <c r="PW25" s="202" t="str">
        <f t="shared" ca="1" si="171"/>
        <v/>
      </c>
      <c r="PX25" s="202" t="str">
        <f t="shared" ca="1" si="172"/>
        <v>StdDisziplinen[MaxTextSt]</v>
      </c>
      <c r="PY25" s="202" t="str">
        <f t="shared" ca="1" si="173"/>
        <v/>
      </c>
      <c r="PZ25" s="202" t="b">
        <f t="shared" ca="1" si="174"/>
        <v>0</v>
      </c>
      <c r="QA25" s="202" t="str">
        <f t="shared" ca="1" si="175"/>
        <v/>
      </c>
      <c r="QB25" s="202" t="str">
        <f t="shared" ca="1" si="32"/>
        <v/>
      </c>
      <c r="QC25" s="202" t="str">
        <f t="shared" ca="1" si="176"/>
        <v/>
      </c>
      <c r="QD25" s="202" t="str">
        <f t="shared" ca="1" si="177"/>
        <v/>
      </c>
      <c r="QE25" s="242" t="str">
        <f t="shared" ca="1" si="178"/>
        <v/>
      </c>
      <c r="QF25" s="242" t="str">
        <f t="shared" ca="1" si="179"/>
        <v/>
      </c>
      <c r="QG25" s="242" t="str">
        <f t="shared" ca="1" si="180"/>
        <v>Zweite Spielsportart</v>
      </c>
      <c r="QH25" s="242" t="str">
        <f ca="1">IF(QG25=$QF$11,Stammdaten!$AY$27,IF(QK25=$A$2,TRIM(Stammdaten!$AX$25),""))</f>
        <v>nicht durchgeführt</v>
      </c>
      <c r="QI25" s="242" t="str">
        <f t="shared" ca="1" si="181"/>
        <v/>
      </c>
      <c r="QJ25" s="202" t="str">
        <f t="shared" ca="1" si="182"/>
        <v>Zweite SpielsportartResultat[@Resultat]</v>
      </c>
      <c r="QK25" s="98" t="str">
        <f t="shared" ca="1" si="183"/>
        <v/>
      </c>
      <c r="QL25" s="202" t="str">
        <f t="shared" ca="1" si="184"/>
        <v/>
      </c>
      <c r="QM25" s="202" t="str">
        <f t="shared" ca="1" si="185"/>
        <v>Zweite SpielsportartSkalawert[@[Skala-Wert]]</v>
      </c>
      <c r="QN25" s="98" t="str">
        <f t="shared" ca="1" si="186"/>
        <v/>
      </c>
      <c r="QO25" s="202" t="str">
        <f t="shared" ca="1" si="187"/>
        <v/>
      </c>
      <c r="QP25" s="202" t="str">
        <f t="shared" ca="1" si="188"/>
        <v/>
      </c>
      <c r="QQ25" s="202" t="str">
        <f t="shared" ca="1" si="189"/>
        <v>StdDisziplinen[MaxTextSt]</v>
      </c>
      <c r="QR25" s="202" t="str">
        <f t="shared" ca="1" si="190"/>
        <v/>
      </c>
      <c r="QS25" s="202" t="b">
        <f t="shared" ca="1" si="191"/>
        <v>0</v>
      </c>
      <c r="QT25" s="242" t="str">
        <f t="shared" ca="1" si="33"/>
        <v>Dritte Spielsportart</v>
      </c>
      <c r="QU25" s="242" t="str">
        <f ca="1">IF(QT25=$QT$11,MID(Stammdaten!$AX$27,2,LEN(Stammdaten!$AX$27)),IF(QX25=$A$2,TRIM(Stammdaten!$AX$25),""))</f>
        <v>nicht durchgeführt</v>
      </c>
      <c r="QV25" s="242" t="str">
        <f t="shared" ca="1" si="34"/>
        <v/>
      </c>
      <c r="QW25" s="202" t="str">
        <f t="shared" ca="1" si="192"/>
        <v>Dritte SpielsportartResultat[@Resultat]</v>
      </c>
      <c r="QX25" s="98" t="str">
        <f t="shared" ca="1" si="193"/>
        <v/>
      </c>
      <c r="QY25" s="202" t="str">
        <f t="shared" ca="1" si="35"/>
        <v/>
      </c>
      <c r="QZ25" s="202" t="str">
        <f t="shared" ca="1" si="194"/>
        <v>Dritte SpielsportartSkalawert[@[Skala-Wert]]</v>
      </c>
      <c r="RA25" s="98" t="str">
        <f t="shared" ca="1" si="195"/>
        <v/>
      </c>
      <c r="RB25" s="202" t="str">
        <f t="shared" ca="1" si="36"/>
        <v/>
      </c>
      <c r="RC25" s="202" t="str">
        <f t="shared" ca="1" si="196"/>
        <v/>
      </c>
      <c r="RD25" s="202" t="str">
        <f t="shared" ca="1" si="197"/>
        <v>StdDisziplinen[MaxTextSt]</v>
      </c>
      <c r="RE25" s="202" t="str">
        <f t="shared" ca="1" si="37"/>
        <v/>
      </c>
      <c r="RF25" s="244">
        <f t="shared" ca="1" si="38"/>
        <v>99</v>
      </c>
      <c r="RG25" s="244">
        <f t="shared" ca="1" si="39"/>
        <v>99</v>
      </c>
      <c r="RH25" s="244">
        <f t="shared" ca="1" si="40"/>
        <v>99</v>
      </c>
      <c r="RI25" s="244">
        <f t="shared" ca="1" si="41"/>
        <v>99</v>
      </c>
      <c r="RJ25" s="244">
        <f t="shared" ca="1" si="42"/>
        <v>99</v>
      </c>
      <c r="RK25" s="244">
        <f t="shared" ca="1" si="198"/>
        <v>99</v>
      </c>
      <c r="RL25" s="244">
        <f t="shared" ca="1" si="199"/>
        <v>99</v>
      </c>
      <c r="RM25" s="244">
        <f t="shared" ca="1" si="200"/>
        <v>99</v>
      </c>
      <c r="RN25" s="244">
        <f t="shared" ca="1" si="201"/>
        <v>99</v>
      </c>
      <c r="RO25" s="244">
        <f t="shared" ca="1" si="202"/>
        <v>99</v>
      </c>
      <c r="RP25" s="202" t="str">
        <f t="shared" ca="1" si="43"/>
        <v>Zu wenige Noten</v>
      </c>
      <c r="RQ25" s="202" t="str">
        <f t="shared" ca="1" si="203"/>
        <v>Zu wenige Noten</v>
      </c>
      <c r="RR25" s="202" t="str">
        <f t="shared" ca="1" si="203"/>
        <v>Zu wenige Noten</v>
      </c>
      <c r="RS25" s="202" t="str">
        <f t="shared" ca="1" si="204"/>
        <v>Zu wenige Noten</v>
      </c>
      <c r="RT25" s="202" t="str">
        <f t="shared" ca="1" si="204"/>
        <v>Zu wenige Noten</v>
      </c>
      <c r="RU25" s="202" t="str">
        <f t="shared" ca="1" si="205"/>
        <v>Zu wenige Noten</v>
      </c>
      <c r="RV25" s="202" t="str">
        <f t="shared" ca="1" si="206"/>
        <v>Zu wenige Noten</v>
      </c>
      <c r="RW25" s="31"/>
      <c r="RX25" s="56" t="str">
        <f t="shared" ca="1" si="44"/>
        <v>Zu wenige Noten</v>
      </c>
      <c r="RY25" s="31"/>
      <c r="RZ25" s="31" t="str">
        <f t="shared" ca="1" si="45"/>
        <v>Zu wenige Noten</v>
      </c>
      <c r="SA25" s="31" t="str">
        <f t="shared" ca="1" si="46"/>
        <v>Zu wenige Noten</v>
      </c>
      <c r="SB25" s="45" t="str">
        <f t="shared" ca="1" si="47"/>
        <v>Zu wenige Noten</v>
      </c>
      <c r="SC25" s="31" t="str">
        <f t="shared" ca="1" si="207"/>
        <v>Zu wenige Noten</v>
      </c>
      <c r="SD25" s="31" t="str">
        <f t="shared" ca="1" si="208"/>
        <v>Zu wenige Noten</v>
      </c>
      <c r="SE25" s="31" t="str">
        <f t="shared" ca="1" si="48"/>
        <v>Zu wenige Noten</v>
      </c>
      <c r="SF25" s="31" t="str">
        <f t="shared" ca="1" si="209"/>
        <v>Zu wenige Noten</v>
      </c>
      <c r="SG25" s="31" t="str">
        <f t="shared" ca="1" si="48"/>
        <v>Zu wenige Noten</v>
      </c>
      <c r="SH25" s="36">
        <f t="shared" ca="1" si="210"/>
        <v>0</v>
      </c>
      <c r="SI25" s="36">
        <f t="shared" ca="1" si="211"/>
        <v>0</v>
      </c>
      <c r="SJ25" s="36">
        <f t="shared" ca="1" si="212"/>
        <v>0</v>
      </c>
      <c r="SK25" s="31">
        <f t="shared" ca="1" si="213"/>
        <v>99</v>
      </c>
      <c r="SL25" s="31">
        <f t="shared" ca="1" si="214"/>
        <v>99</v>
      </c>
      <c r="SM25" s="36" t="str">
        <f t="shared" ca="1" si="215"/>
        <v>99.0</v>
      </c>
      <c r="SN25" s="31">
        <f t="shared" ca="1" si="216"/>
        <v>99</v>
      </c>
      <c r="SO25" s="36" t="str">
        <f ca="1">IF(NOT(SJ25),INDEX(StdFehler[StdFehler],4),IF(SI25=$SJ$13,$A$3,CONCATENATE(TEXT(SK25,"#.0"),", ",TEXT(SL25,"#.0"),", ",SM25,", ",TEXT(SN25,"#.0"))))</f>
        <v>Zu wenige Noten</v>
      </c>
      <c r="SP25" s="36" t="str">
        <f t="shared" ca="1" si="49"/>
        <v>Zu wenige Noten</v>
      </c>
      <c r="SQ25" s="36" t="str">
        <f t="shared" ca="1" si="49"/>
        <v>Zu wenige Noten</v>
      </c>
      <c r="SR25" s="36" t="str">
        <f t="shared" ca="1" si="49"/>
        <v>Zu wenige Noten</v>
      </c>
      <c r="SS25" s="36" t="str">
        <f t="shared" ca="1" si="49"/>
        <v>Zu wenige Noten</v>
      </c>
      <c r="ST25" s="36" t="str">
        <f t="shared" ca="1" si="217"/>
        <v>Zu wenige Noten</v>
      </c>
      <c r="SU25" s="36"/>
      <c r="SV25" s="214" t="str">
        <f t="shared" si="218"/>
        <v>D</v>
      </c>
      <c r="SW25" s="36"/>
      <c r="SX25" s="214" t="str">
        <f t="shared" si="219"/>
        <v>D</v>
      </c>
      <c r="SY25" s="36"/>
      <c r="SZ25" s="214" t="str">
        <f t="shared" si="220"/>
        <v>D</v>
      </c>
      <c r="TA25" s="36"/>
      <c r="TB25" s="214" t="str">
        <f t="shared" si="221"/>
        <v>D</v>
      </c>
      <c r="TC25" s="31"/>
      <c r="TD25" s="36" t="str">
        <f t="shared" ca="1" si="222"/>
        <v>Zu wenige Noten</v>
      </c>
      <c r="TE25" s="31"/>
      <c r="TF25" s="193" t="str">
        <f ca="1">IF(NOT(SJ25),INDEX(StdFehler[StdFehler],4),IF(SI25=$TF$4,$A$3,ROUND(AVERAGE(RZ25:SC25)/$TF$5,0)*$TF$5))</f>
        <v>Zu wenige Noten</v>
      </c>
      <c r="TH25" s="595" t="str">
        <f>IF(OR($TH$18=Stammdaten!$AX$20,$TH$18=""),Stammdaten!$AX$20,$TH$18)</f>
        <v>Disziplin</v>
      </c>
      <c r="TI25" s="33"/>
      <c r="TJ25" s="33" t="str">
        <f>IF(OR(Geschlecht[[#This Row],[Geschlecht (Skala)]]="",TH25="",TH25=Stammdaten!$AX$20),"",REPLACE(INDEX(StdDisziplinen[TabÜberschriftResultat],TH$3),FIND("XX",INDEX(StdDisziplinen[TabÜberschriftResultat],TH$3),1),2,Geschlecht[[#This Row],[Geschlecht (Skala)]]))</f>
        <v/>
      </c>
      <c r="TK25" s="596"/>
      <c r="TM25" s="37"/>
      <c r="TN25" s="40"/>
      <c r="TO25" s="587">
        <f>IF(TO$16,IF(TP$16=0.5,MROUND(SchwimmenResultat[[#This Row],[Resultat]],TP$16),ROUND(SchwimmenResultat[[#This Row],[Resultat]],TP$16)),ROUNDDOWN(SchwimmenResultat[[#This Row],[Resultat]],TP$16))</f>
        <v>0</v>
      </c>
      <c r="TP25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5" s="153" t="str">
        <f ca="1">IF(TP25="","",IF(OR(SchwimmenResultat[[#This Row],[Resultat]]=Stammdaten!$AX$22,SchwimmenResultat[[#This Row],[Resultat]]=Stammdaten!$AX$19),Stammdaten!$AX$19,IF(ISNA(INDEX(INDIRECT(TP25),MATCH(SchwimmenGerundet[[#This Row],[Rundung]],INDIRECT(TP25),TP$18))),IF(TP$18=-1,LARGE(INDIRECT(TP25),1),SMALL(INDIRECT(TP25),1)),INDEX(INDIRECT(TP25),MATCH(SchwimmenGerundet[[#This Row],[Rundung]],INDIRECT(TP25),TP$18)))))</f>
        <v/>
      </c>
      <c r="TR25" s="33" t="str">
        <f>IF(OR(TP25="",SchwimmenResultat[[#This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5" s="33"/>
      <c r="TT25" s="36" t="str">
        <f ca="1">IF(OR(TR25="",SchwimmenSkalawert[[#This Row],[Skala-Wert]]=Stammdaten!$AX$19),"",INDEX(INDIRECT(TR25),MATCH(SchwimmenSkalawert[[#This Row],[Skala-Wert]],INDIRECT(TP25),0)))</f>
        <v/>
      </c>
      <c r="TU25" s="36"/>
      <c r="TV25" s="190" t="str">
        <f>IF(ZwölfMinLaufHalleResultat[[#This Row],[Resultat]]=0,"",ZwölfMinLaufHalleResultat[[#This Row],[Resultat]])</f>
        <v/>
      </c>
      <c r="TW25" s="190"/>
      <c r="TX25" s="31" t="str">
        <f ca="1">ZwölfMinLaufHalleSkalawert[[#This Row],[Skala-Wert]]</f>
        <v/>
      </c>
      <c r="TZ25" s="31" t="str">
        <f ca="1">ZwölfMinLaufHalleNote[[#This Row],[Note]]</f>
        <v/>
      </c>
      <c r="UA25" s="31"/>
      <c r="UB25" s="190" t="str">
        <f>IF(ZwölfMinLaufimFreienResultat[[#This Row],[Resultat]]=0,"",ZwölfMinLaufimFreienResultat[[#This Row],[Resultat]])</f>
        <v/>
      </c>
      <c r="UC25" s="190"/>
      <c r="UD25" s="192" t="str">
        <f ca="1">ZwölfMinLaufimFreienSkalawert[[#This Row],[Skala-Wert]]</f>
        <v/>
      </c>
      <c r="UF25" s="31" t="str">
        <f ca="1">ZwölfMinLaufimFreienNote[[#This Row],[Note]]</f>
        <v/>
      </c>
      <c r="UG25" s="31"/>
      <c r="UH25" s="597"/>
      <c r="UI25" s="190"/>
      <c r="UJ25" s="587">
        <f>IF(UJ$16,IF(UK$16=0.5,MROUND(BeweglichkeitResultat[[#This Row],[Resultat]],UK$16),ROUND(BeweglichkeitResultat[[#This Row],[Resultat]],UK$16)),ROUNDDOWN(BeweglichkeitResultat[[#This Row],[Resultat]],UK$16))</f>
        <v>0</v>
      </c>
      <c r="UK25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5" s="192" t="str">
        <f ca="1">IF(UK25="","",IF(OR(BeweglichkeitResultat[[#This Row],[Resultat]]=Stammdaten!$AX$22,BeweglichkeitResultat[[#This Row],[Resultat]]=Stammdaten!$AX$19),Stammdaten!$AX$19,IF(ISNA(INDEX(INDIRECT(UK25),MATCH(BeweglichkeitGerundet[[#This Row],[Rundung]],INDIRECT(UK25),UK$18))),IF(UK$18=-1,LARGE(INDIRECT(UK25),1),SMALL(INDIRECT(UK25),1)),INDEX(INDIRECT(UK25),MATCH(BeweglichkeitGerundet[[#This Row],[Rundung]],INDIRECT(UK25),UK$18)))))</f>
        <v/>
      </c>
      <c r="UN25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5" s="36" t="str">
        <f ca="1">IF(OR(UK25="",BeweglichkeitSkalawert[[#This Row],[Skala-Wert]]=Stammdaten!$AX$19),"",INDEX(INDIRECT(UN25),MATCH(BeweglichkeitSkalawert[[#This Row],[Skala-Wert]],INDIRECT(UK25),0)))</f>
        <v/>
      </c>
      <c r="UP25" s="31"/>
      <c r="UQ25" s="597"/>
      <c r="UR25" s="190"/>
      <c r="US25" s="587">
        <f>IF(US$16,IF(UT$16=0.5,MROUND(RumpfkraftResultat[[#This Row],[Resultat]],UT$16),ROUND(RumpfkraftResultat[[#This Row],[Resultat]],UT$16)),ROUNDDOWN(RumpfkraftResultat[[#This Row],[Resultat]],UT$16))</f>
        <v>0</v>
      </c>
      <c r="UT25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5" s="192" t="str">
        <f ca="1">IF(UT25="","",IF(OR(RumpfkraftResultat[[#This Row],[Resultat]]=Stammdaten!$AX$22,RumpfkraftResultat[[#This Row],[Resultat]]=Stammdaten!$AX$19),Stammdaten!$AX$19,IF(ISNA(INDEX(INDIRECT(UT25),MATCH(RumpfkraftGerundet[[#This Row],[Rundung]],INDIRECT(UT25),UT$18))),IF(UT$18=-1,LARGE(INDIRECT(UT25),1),SMALL(INDIRECT(UT25),1)),INDEX(INDIRECT(UT25),MATCH(RumpfkraftGerundet[[#This Row],[Rundung]],INDIRECT(UT25),UT$18)))))</f>
        <v/>
      </c>
      <c r="UW25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5" s="36" t="str">
        <f ca="1">IF(OR(UT25="",RumpfkraftSkalawert[[#This Row],[Skala-Wert]]=Stammdaten!$AX$19),"",INDEX(INDIRECT(UW25),MATCH(RumpfkraftSkalawert[[#This Row],[Skala-Wert]],INDIRECT(UT25),0)))</f>
        <v/>
      </c>
      <c r="UY25" s="31"/>
      <c r="UZ25" s="190" t="str">
        <f>IF(SechzigmLaufResultat[[#This Row],[Resultat]]=0,"",SechzigmLaufResultat[[#This Row],[Resultat]])</f>
        <v/>
      </c>
      <c r="VA25" s="190"/>
      <c r="VB25" s="45" t="str">
        <f ca="1">SechzigmLaufSkalawert[[#This Row],[Skala-Wert]]</f>
        <v/>
      </c>
      <c r="VD25" s="31" t="str">
        <f ca="1">SechzigmLaufNote[[#This Row],[Note]]</f>
        <v/>
      </c>
      <c r="VE25" s="31"/>
      <c r="VF25" s="190" t="str">
        <f>IF(AchtzigmLaufResultat[[#This Row],[Resultat]]=0,"",AchtzigmLaufResultat[[#This Row],[Resultat]])</f>
        <v/>
      </c>
      <c r="VG25" s="190"/>
      <c r="VH25" s="45" t="str">
        <f ca="1">AchtzigmLaufSkalawert[[#This Row],[Skala-Wert]]</f>
        <v/>
      </c>
      <c r="VJ25" s="31" t="str">
        <f ca="1">AchtzigmLaufNote[[#This Row],[Note]]</f>
        <v/>
      </c>
      <c r="VK25" s="31"/>
      <c r="VL25" s="37"/>
      <c r="VM25" s="190"/>
      <c r="VN25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5" s="191" t="str">
        <f>IF(OR(Geschlecht[[#This Row],[Geschlecht (Skala)]]="",VL$16=""),"",MID(Geschlecht[[#This Row],[Geschlecht (Skala)]],1,1)&amp;MID(VL$16,1,1))</f>
        <v/>
      </c>
      <c r="VP25" s="190" t="str">
        <f>IF(OR(VO25="",KonditionsparcoursResultat[[#This Row],[Resultat]]=""),"",REPLACE(INDEX(StdDisziplinen[TabÜberschriftResultat],VL$3),FIND("X",INDEX(StdDisziplinen[TabÜberschriftResultat],VL$3),1),2,VO25))</f>
        <v/>
      </c>
      <c r="VQ25" s="192" t="str">
        <f ca="1">IF(VP25="","",IF(OR(KonditionsparcoursResultat[[#This Row],[Resultat]]=Stammdaten!$AX$22,KonditionsparcoursResultat[[#This Row],[Resultat]]=Stammdaten!$AX$19),Stammdaten!$AX$19,IF(ISNA(INDEX(INDIRECT(VP25),MATCH(KonditionsparcoursGerundet[[#This Row],[Rundung]],INDIRECT(VP25),VP$18))),IF(VP$18=-1,LARGE(INDIRECT(VP25),1),SMALL(INDIRECT(VP25),1)),INDEX(INDIRECT(VP25),MATCH(KonditionsparcoursGerundet[[#This Row],[Rundung]],INDIRECT(VP25),VP$18)))))</f>
        <v/>
      </c>
      <c r="VS25" s="18" t="str">
        <f ca="1">IF(KonditionsparcoursSkalawert[[#This Row],[Skala-Wert]]="","",REPLACE(INDEX(StdDisziplinen[TabÜberschriftNote],VL$3),FIND("X",INDEX(StdDisziplinen[TabÜberschriftNote],VL$3),1),2,VO25))</f>
        <v/>
      </c>
      <c r="VT25" s="31" t="str">
        <f ca="1">IF(OR(VS25="",KonditionsparcoursSkalawert[[#This Row],[Skala-Wert]]=Stammdaten!$AX$19),"",INDEX(INDIRECT(VS25),MATCH(KonditionsparcoursSkalawert[[#This Row],[Skala-Wert]],INDIRECT(VP25),0)))</f>
        <v/>
      </c>
      <c r="VU25" s="22"/>
    </row>
    <row r="26" spans="1:593" x14ac:dyDescent="0.3">
      <c r="A26" s="30">
        <v>8</v>
      </c>
      <c r="B26" s="589"/>
      <c r="C26" s="589"/>
      <c r="E26" s="591"/>
      <c r="G26" s="37"/>
      <c r="H26" s="190"/>
      <c r="I26" s="154">
        <f>IF(I$16,IF(J$16=0.5,MROUND(SechzigmLaufResultat[[#This Row],[Resultat]],J$16),ROUND(SechzigmLaufResultat[[#This Row],[Resultat]],J$16)),ROUNDDOWN(SechzigmLaufResultat[[#This Row],[Resultat]],J$16))</f>
        <v>0</v>
      </c>
      <c r="J26" s="191" t="str">
        <f>IF(OR(Geschlecht[[#This Row],[Geschlecht (Skala)]]="",G$16=""),"",MID(Geschlecht[[#This Row],[Geschlecht (Skala)]],1,1)&amp;MID(G$16,1,1))</f>
        <v/>
      </c>
      <c r="K26" s="190" t="str">
        <f>IF(OR(J26="",SechzigmLaufResultat[[#This Row],[Resultat]]=""),"",REPLACE(INDEX(StdDisziplinen[TabÜberschriftResultat],G$3),FIND("X",INDEX(StdDisziplinen[TabÜberschriftResultat],G$3),1),2,J26))</f>
        <v/>
      </c>
      <c r="L26" s="45" t="str">
        <f ca="1">IF(K26="","",IF(OR(SechzigmLaufResultat[[#This Row],[Resultat]]=Stammdaten!$AX$22,SechzigmLaufResultat[[#This Row],[Resultat]]=Stammdaten!$AX$19),Stammdaten!$AX$19,IF(ISNA(INDEX(INDIRECT(K26),MATCH(SechzigmLaufGerundet[[#This Row],[Rundung]],INDIRECT(K26),K$18))),IF(K$18=-1,LARGE(INDIRECT(K26),1),SMALL(INDIRECT(K26),1)),INDEX(INDIRECT(K26),MATCH(SechzigmLaufGerundet[[#This Row],[Rundung]],INDIRECT(K26),K$18)))))</f>
        <v/>
      </c>
      <c r="N26" s="18" t="str">
        <f ca="1">IF(SechzigmLaufSkalawert[[#This Row],[Skala-Wert]]="","",REPLACE(INDEX(StdDisziplinen[TabÜberschriftNote],G$3),FIND("X",INDEX(StdDisziplinen[TabÜberschriftNote],G$3),1),2,J26))</f>
        <v/>
      </c>
      <c r="O26" s="31" t="str">
        <f ca="1">IF(OR(N26="",SechzigmLaufSkalawert[[#This Row],[Skala-Wert]]=Stammdaten!$AX$19),"",INDEX(INDIRECT(N26),MATCH(SechzigmLaufSkalawert[[#This Row],[Skala-Wert]],INDIRECT(K26),0)))</f>
        <v/>
      </c>
      <c r="P26" s="31"/>
      <c r="Q26" s="37"/>
      <c r="R26" s="190"/>
      <c r="S26" s="154">
        <f>IF(S$16,IF(T$16=0.5,MROUND(AchtzigmLaufResultat[[#This Row],[Resultat]],T$16),ROUND(AchtzigmLaufResultat[[#This Row],[Resultat]],T$16)),ROUNDDOWN(AchtzigmLaufResultat[[#This Row],[Resultat]],T$16))</f>
        <v>0</v>
      </c>
      <c r="T26" s="191" t="str">
        <f>IF(OR(Geschlecht[[#This Row],[Geschlecht (Skala)]]="",Q$16=""),"",MID(Geschlecht[[#This Row],[Geschlecht (Skala)]],1,1)&amp;MID(Q$16,1,1))</f>
        <v/>
      </c>
      <c r="U26" s="190" t="str">
        <f>IF(OR(T26="",AchtzigmLaufResultat[[#This Row],[Resultat]]=""),"",REPLACE(INDEX(StdDisziplinen[TabÜberschriftResultat],Q$3),FIND("X",INDEX(StdDisziplinen[TabÜberschriftResultat],Q$3),1),2,T26))</f>
        <v/>
      </c>
      <c r="V26" s="45" t="str">
        <f ca="1">IF(U26="","",IF(OR(AchtzigmLaufResultat[[#This Row],[Resultat]]=Stammdaten!$AX$22,AchtzigmLaufResultat[[#This Row],[Resultat]]=Stammdaten!$AX$19),Stammdaten!$AX$19,IF(ISNA(INDEX(INDIRECT(U26),MATCH(AchtzigmLaufGerundet[[#This Row],[Rundung]],INDIRECT(U26),U$18))),IF(U$18=-1,LARGE(INDIRECT(U26),1),SMALL(INDIRECT(U26),1)),INDEX(INDIRECT(U26),MATCH(AchtzigmLaufGerundet[[#This Row],[Rundung]],INDIRECT(U26),U$18)))))</f>
        <v/>
      </c>
      <c r="X26" s="18" t="str">
        <f ca="1">IF(AchtzigmLaufSkalawert[[#This Row],[Skala-Wert]]="","",REPLACE(INDEX(StdDisziplinen[TabÜberschriftNote],Q$3),FIND("X",INDEX(StdDisziplinen[TabÜberschriftNote],Q$3),1),2,T26))</f>
        <v/>
      </c>
      <c r="Y26" s="31" t="str">
        <f ca="1">IF(OR(X26="",AchtzigmLaufSkalawert[[#This Row],[Skala-Wert]]=Stammdaten!$AX$19),"",INDEX(INDIRECT(X26),MATCH(AchtzigmLaufSkalawert[[#This Row],[Skala-Wert]],INDIRECT(U26),0)))</f>
        <v/>
      </c>
      <c r="Z26" s="31"/>
      <c r="AA26" s="37"/>
      <c r="AB26" s="190"/>
      <c r="AC26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6" s="191" t="str">
        <f>IF(OR(Geschlecht[[#This Row],[Geschlecht (Skala)]]="",AA$16=""),"",MID(Geschlecht[[#This Row],[Geschlecht (Skala)]],1,1)&amp;MID(AA$16,1,1))</f>
        <v/>
      </c>
      <c r="AE26" s="190" t="str">
        <f>IF(OR(AD26="",ZwölfMinLaufHalleResultat[[#This Row],[Resultat]]=""),"",REPLACE(INDEX(StdDisziplinen[TabÜberschriftResultat],AA$3),FIND("X",INDEX(StdDisziplinen[TabÜberschriftResultat],AA$3),1),2,AD26))</f>
        <v/>
      </c>
      <c r="AF26" s="31" t="str">
        <f ca="1">IF(AE26="","",IF(OR(ZwölfMinLaufHalleResultat[[#This Row],[Resultat]]=Stammdaten!$AX$22,ZwölfMinLaufHalleResultat[[#This Row],[Resultat]]=Stammdaten!$AX$19),Stammdaten!$AX$19,IF(ISNA(INDEX(INDIRECT(AE26),MATCH(ZwölfMinLaufHalleGerundet[[#This Row],[Rundung]],INDIRECT(AE26),AE$18))),IF(AE$18=-1,LARGE(INDIRECT(AE26),1),SMALL(INDIRECT(AE26),1)),INDEX(INDIRECT(AE26),MATCH(ZwölfMinLaufHalleGerundet[[#This Row],[Rundung]],INDIRECT(AE26),AE$18)))))</f>
        <v/>
      </c>
      <c r="AH26" s="18" t="str">
        <f ca="1">IF(ZwölfMinLaufHalleSkalawert[[#This Row],[Skala-Wert]]="","",REPLACE(INDEX(StdDisziplinen[TabÜberschriftNote],AA$3),FIND("X",INDEX(StdDisziplinen[TabÜberschriftNote],AA$3),1),2,AD26))</f>
        <v/>
      </c>
      <c r="AI26" s="31" t="str">
        <f ca="1">IF(OR(AH26="",ZwölfMinLaufHalleSkalawert[[#This Row],[Skala-Wert]]=Stammdaten!$AX$19),"",INDEX(INDIRECT(AH26),MATCH(ZwölfMinLaufHalleSkalawert[[#This Row],[Skala-Wert]],INDIRECT(AE26),0)))</f>
        <v/>
      </c>
      <c r="AJ26" s="31"/>
      <c r="AK26" s="597"/>
      <c r="AL26" s="190"/>
      <c r="AM26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6" s="191" t="str">
        <f>IF(OR(Geschlecht[[#This Row],[Geschlecht (Skala)]]="",AK$16=""),"",MID(Geschlecht[[#This Row],[Geschlecht (Skala)]],1,1)&amp;MID(AK$16,1,1))</f>
        <v/>
      </c>
      <c r="AO26" s="190" t="str">
        <f>IF(OR(AN26="",ZwölfMinLaufimFreienResultat[[#This Row],[Resultat]]=""),"",REPLACE(INDEX(StdDisziplinen[TabÜberschriftResultat],AK$3),FIND("X",INDEX(StdDisziplinen[TabÜberschriftResultat],AK$3),1),2,AN26))</f>
        <v/>
      </c>
      <c r="AP26" s="192" t="str">
        <f ca="1">IF(AO26="","",IF(OR(ZwölfMinLaufimFreienResultat[[#This Row],[Resultat]]=Stammdaten!$AX$22,ZwölfMinLaufimFreienResultat[[#This Row],[Resultat]]=Stammdaten!$AX$19),Stammdaten!$AX$19,IF(ISNA(INDEX(INDIRECT(AO26),MATCH(ZwölfMinLaufimFreienGerundet[[#This Row],[Rundung]],INDIRECT(AO26),AO$18))),IF(AO$18=-1,LARGE(INDIRECT(AO26),1),SMALL(INDIRECT(AO26),1)),INDEX(INDIRECT(AO26),MATCH(ZwölfMinLaufimFreienGerundet[[#This Row],[Rundung]],INDIRECT(AO26),AO$18)))))</f>
        <v/>
      </c>
      <c r="AR26" s="18" t="str">
        <f ca="1">IF(ZwölfMinLaufimFreienSkalawert[[#This Row],[Skala-Wert]]="","",REPLACE(INDEX(StdDisziplinen[TabÜberschriftNote],AK$3),FIND("X",INDEX(StdDisziplinen[TabÜberschriftNote],AK$3),1),2,AN26))</f>
        <v/>
      </c>
      <c r="AS26" s="31" t="str">
        <f ca="1">IF(OR(AR26="",ZwölfMinLaufimFreienSkalawert[[#This Row],[Skala-Wert]]=Stammdaten!$AX$19),"",INDEX(INDIRECT(AR26),MATCH(ZwölfMinLaufimFreienSkalawert[[#This Row],[Skala-Wert]],INDIRECT(AO26),0)))</f>
        <v/>
      </c>
      <c r="AT26" s="31"/>
      <c r="AU26" s="597"/>
      <c r="AV26" s="190"/>
      <c r="AW26" s="587">
        <f>IF(AW$16,IF(AX$16=0.5,MROUND(HochsprungResultat[[#This Row],[Resultat]],AX$16),ROUND(HochsprungResultat[[#This Row],[Resultat]],AX$16)),ROUNDDOWN(HochsprungResultat[[#This Row],[Resultat]],AX$16))</f>
        <v>0</v>
      </c>
      <c r="AX26" s="191" t="str">
        <f>IF(OR(Geschlecht[[#This Row],[Geschlecht (Skala)]]="",AU$16=""),"",MID(Geschlecht[[#This Row],[Geschlecht (Skala)]],1,1)&amp;MID(AU$16,1,1))</f>
        <v/>
      </c>
      <c r="AY26" s="190" t="str">
        <f>IF(OR(AX26="",HochsprungResultat[[#This Row],[Resultat]]=""),"",REPLACE(INDEX(StdDisziplinen[TabÜberschriftResultat],AU$3),FIND("X",INDEX(StdDisziplinen[TabÜberschriftResultat],AU$3),1),2,AX26))</f>
        <v/>
      </c>
      <c r="AZ26" s="192" t="str">
        <f ca="1">IF(AY26="","",IF(OR(HochsprungResultat[[#This Row],[Resultat]]=Stammdaten!$AX$22,HochsprungResultat[[#This Row],[Resultat]]=Stammdaten!$AX$19),Stammdaten!$AX$19,IF(ISNA(INDEX(INDIRECT(AY26),MATCH(HochsprungGerundet[[#This Row],[Rundung]],INDIRECT(AY26),AY$18))),IF(AY$18=-1,LARGE(INDIRECT(AY26),1),SMALL(INDIRECT(AY26),1)),INDEX(INDIRECT(AY26),MATCH(HochsprungGerundet[[#This Row],[Rundung]],INDIRECT(AY26),AY$18)))))</f>
        <v/>
      </c>
      <c r="BB26" s="18" t="str">
        <f ca="1">IF(HochsprungSkalawert[[#This Row],[Skala-Wert]]="","",REPLACE(INDEX(StdDisziplinen[TabÜberschriftNote],AU$3),FIND("X",INDEX(StdDisziplinen[TabÜberschriftNote],AU$3),1),2,AX26))</f>
        <v/>
      </c>
      <c r="BC26" s="31" t="str">
        <f ca="1">IF(OR(BB26="",HochsprungSkalawert[[#This Row],[Skala-Wert]]=Stammdaten!$AX$19),"",INDEX(INDIRECT(BB26),MATCH(HochsprungSkalawert[[#This Row],[Skala-Wert]],INDIRECT(AY26),0)))</f>
        <v/>
      </c>
      <c r="BD26" s="31"/>
      <c r="BE26" s="597"/>
      <c r="BF26" s="190"/>
      <c r="BG26" s="587">
        <f>IF(BG$16,IF(BH$16=0.5,MROUND(WeitsprungResultat[[#This Row],[Resultat]],BH$16),ROUND(WeitsprungResultat[[#This Row],[Resultat]],BH$16)),ROUNDDOWN(WeitsprungResultat[[#This Row],[Resultat]],BH$16))</f>
        <v>0</v>
      </c>
      <c r="BH26" s="191" t="str">
        <f>IF(OR(Geschlecht[[#This Row],[Geschlecht (Skala)]]="",BE$16=""),"",MID(Geschlecht[[#This Row],[Geschlecht (Skala)]],1,1)&amp;MID(BE$16,1,1))</f>
        <v/>
      </c>
      <c r="BI26" s="190" t="str">
        <f>IF(OR(BH26="",WeitsprungResultat[[#This Row],[Resultat]]=""),"",REPLACE(INDEX(StdDisziplinen[TabÜberschriftResultat],BE$3),FIND("X",INDEX(StdDisziplinen[TabÜberschriftResultat],BE$3),1),2,BH26))</f>
        <v/>
      </c>
      <c r="BJ26" s="192" t="str">
        <f ca="1">IF(BI26="","",IF(OR(WeitsprungResultat[[#This Row],[Resultat]]=Stammdaten!$AX$22,WeitsprungResultat[[#This Row],[Resultat]]=Stammdaten!$AX$19),Stammdaten!$AX$19,IF(ISNA(INDEX(INDIRECT(BI26),MATCH(WeitsprungGerundet[[#This Row],[Rundung]],INDIRECT(BI26),BI$18))),IF(BI$18=-1,LARGE(INDIRECT(BI26),1),SMALL(INDIRECT(BI26),1)),INDEX(INDIRECT(BI26),MATCH(WeitsprungGerundet[[#This Row],[Rundung]],INDIRECT(BI26),BI$18)))))</f>
        <v/>
      </c>
      <c r="BL26" s="18" t="str">
        <f ca="1">IF(WeitsprungSkalawert[[#This Row],[Skala-Wert]]="","",REPLACE(INDEX(StdDisziplinen[TabÜberschriftNote],BE$3),FIND("X",INDEX(StdDisziplinen[TabÜberschriftNote],BE$3),1),2,BH26))</f>
        <v/>
      </c>
      <c r="BM26" s="31" t="str">
        <f ca="1">IF(OR(BL26="",WeitsprungSkalawert[[#This Row],[Skala-Wert]]=Stammdaten!$AX$19),"",INDEX(INDIRECT(BL26),MATCH(WeitsprungSkalawert[[#This Row],[Skala-Wert]],INDIRECT(BI26),0)))</f>
        <v/>
      </c>
      <c r="BN26" s="31"/>
      <c r="BO26" s="37"/>
      <c r="BP26" s="190"/>
      <c r="BQ26" s="154">
        <f>IF(BQ$16,IF(BR$16=0.5,MROUND(BallwurfResultat[[#This Row],[Resultat]],BR$16),ROUND(BallwurfResultat[[#This Row],[Resultat]],BR$16)),ROUNDDOWN(BallwurfResultat[[#This Row],[Resultat]],BR$16))</f>
        <v>0</v>
      </c>
      <c r="BR26" s="191" t="str">
        <f>IF(OR(Geschlecht[[#This Row],[Geschlecht (Skala)]]="",BO$16=""),"",MID(Geschlecht[[#This Row],[Geschlecht (Skala)]],1,1)&amp;MID(BO$16,1,1))</f>
        <v/>
      </c>
      <c r="BS26" s="190" t="str">
        <f>IF(OR(BR26="",BallwurfResultat[[#This Row],[Resultat]]=""),"",REPLACE(INDEX(StdDisziplinen[TabÜberschriftResultat],BO$3),FIND("X",INDEX(StdDisziplinen[TabÜberschriftResultat],BO$3),1),2,BR26))</f>
        <v/>
      </c>
      <c r="BT26" s="45" t="str">
        <f ca="1">IF(BS26="","",IF(OR(BallwurfResultat[[#This Row],[Resultat]]=Stammdaten!$AX$22,BallwurfResultat[[#This Row],[Resultat]]=Stammdaten!$AX$19),Stammdaten!$AX$19,IF(ISNA(INDEX(INDIRECT(BS26),MATCH(BallwurfGerundet[[#This Row],[Rundung]],INDIRECT(BS26),BS$18))),IF(BS$18=-1,LARGE(INDIRECT(BS26),1),SMALL(INDIRECT(BS26),1)),INDEX(INDIRECT(BS26),MATCH(BallwurfGerundet[[#This Row],[Rundung]],INDIRECT(BS26),BS$18)))))</f>
        <v/>
      </c>
      <c r="BV26" s="18" t="str">
        <f ca="1">IF(BallwurfSkalawert[[#This Row],[Skala-Wert]]="","",REPLACE(INDEX(StdDisziplinen[TabÜberschriftNote],BO$3),FIND("X",INDEX(StdDisziplinen[TabÜberschriftNote],BO$3),1),2,BR26))</f>
        <v/>
      </c>
      <c r="BW26" s="31" t="str">
        <f ca="1">IF(OR(BV26="",BallwurfSkalawert[[#This Row],[Skala-Wert]]=Stammdaten!$AX$19),"",INDEX(INDIRECT(BV26),MATCH(BallwurfSkalawert[[#This Row],[Skala-Wert]],INDIRECT(BS26),0)))</f>
        <v/>
      </c>
      <c r="BX26" s="31"/>
      <c r="BY26" s="598"/>
      <c r="BZ26" s="190"/>
      <c r="CA26" s="154">
        <f>IF(CA$16,IF(CB$16=0.5,MROUND(KugelstossenResultat[[#This Row],[Resultat]],CB$16),ROUND(KugelstossenResultat[[#This Row],[Resultat]],CB$16)),ROUNDDOWN(KugelstossenResultat[[#This Row],[Resultat]],CB$16))</f>
        <v>0</v>
      </c>
      <c r="CB26" s="191" t="str">
        <f>IF(OR(Geschlecht[[#This Row],[Geschlecht (Skala)]]="",BY$16=""),"",MID(Geschlecht[[#This Row],[Geschlecht (Skala)]],1,1)&amp;MID(BY$16,1,1))</f>
        <v/>
      </c>
      <c r="CC26" s="190" t="str">
        <f>IF(OR(CB26="",KugelstossenResultat[[#This Row],[Resultat]]=""),"",REPLACE(INDEX(StdDisziplinen[TabÜberschriftResultat],BY$3),FIND("X",INDEX(StdDisziplinen[TabÜberschriftResultat],BY$3),1),2,CB26))</f>
        <v/>
      </c>
      <c r="CD26" s="45" t="str">
        <f ca="1">IF(CC26="","",IF(OR(KugelstossenResultat[[#This Row],[Resultat]]=Stammdaten!$AX$22,KugelstossenResultat[[#This Row],[Resultat]]=Stammdaten!$AX$19),Stammdaten!$AX$19,IF(ISNA(INDEX(INDIRECT(CC26),MATCH(KugelstossenGerundet[[#This Row],[Rundung]],INDIRECT(CC26),CC$18))),IF(CC$18=-1,LARGE(INDIRECT(CC26),1),SMALL(INDIRECT(CC26),1)),INDEX(INDIRECT(CC26),MATCH(KugelstossenGerundet[[#This Row],[Rundung]],INDIRECT(CC26),CC$18)))))</f>
        <v/>
      </c>
      <c r="CF26" s="18" t="str">
        <f ca="1">IF(KugelstossenSkalawert[[#This Row],[Skala-Wert]]="","",REPLACE(INDEX(StdDisziplinen[TabÜberschriftNote],BY$3),FIND("X",INDEX(StdDisziplinen[TabÜberschriftNote],BY$3),1),2,CB26))</f>
        <v/>
      </c>
      <c r="CG26" s="31" t="str">
        <f ca="1">IF(OR(CF26="",KugelstossenSkalawert[[#This Row],[Skala-Wert]]=Stammdaten!$AX$19),"",INDEX(INDIRECT(CF26),MATCH(KugelstossenSkalawert[[#This Row],[Skala-Wert]],INDIRECT(CC26),0)))</f>
        <v/>
      </c>
      <c r="CH26" s="31"/>
      <c r="CI26" s="37"/>
      <c r="CJ26" s="190"/>
      <c r="CK26" s="154">
        <f>IF(CK$16,IF(CL$16=0.5,MROUND(SpeerwurfResultat[[#This Row],[Resultat]],CL$16),ROUND(SpeerwurfResultat[[#This Row],[Resultat]],CL$16)),ROUNDDOWN(SpeerwurfResultat[[#This Row],[Resultat]],CL$16))</f>
        <v>0</v>
      </c>
      <c r="CL26" s="191" t="str">
        <f>IF(OR(Geschlecht[[#This Row],[Geschlecht (Skala)]]="",CI$16=""),"",MID(Geschlecht[[#This Row],[Geschlecht (Skala)]],1,1)&amp;MID(CI$16,1,1))</f>
        <v/>
      </c>
      <c r="CM26" s="190" t="str">
        <f>IF(OR(CL26="",SpeerwurfResultat[[#This Row],[Resultat]]=""),"",REPLACE(INDEX(StdDisziplinen[TabÜberschriftResultat],CI$3),FIND("X",INDEX(StdDisziplinen[TabÜberschriftResultat],CI$3),1),2,CL26))</f>
        <v/>
      </c>
      <c r="CN26" s="45" t="str">
        <f ca="1">IF(CM26="","",IF(OR(SpeerwurfResultat[[#This Row],[Resultat]]=Stammdaten!$AX$22,SpeerwurfResultat[[#This Row],[Resultat]]=Stammdaten!$AX$19),Stammdaten!$AX$19,IF(ISNA(INDEX(INDIRECT(CM26),MATCH(SpeerwurfGerundet[[#This Row],[Rundung]],INDIRECT(CM26),CM$18))),IF(CM$18=-1,LARGE(INDIRECT(CM26),1),SMALL(INDIRECT(CM26),1)),INDEX(INDIRECT(CM26),MATCH(SpeerwurfGerundet[[#This Row],[Rundung]],INDIRECT(CM26),CM$18)))))</f>
        <v/>
      </c>
      <c r="CP26" s="18" t="str">
        <f ca="1">IF(SpeerwurfSkalawert[[#This Row],[Skala-Wert]]="","",REPLACE(INDEX(StdDisziplinen[TabÜberschriftNote],CI$3),FIND("X",INDEX(StdDisziplinen[TabÜberschriftNote],CI$3),1),2,CL26))</f>
        <v/>
      </c>
      <c r="CQ26" s="31" t="str">
        <f ca="1">IF(OR(CP26="",SpeerwurfSkalawert[[#This Row],[Skala-Wert]]=Stammdaten!$AX$19),"",INDEX(INDIRECT(CP26),MATCH(SpeerwurfSkalawert[[#This Row],[Skala-Wert]],INDIRECT(CM26),0)))</f>
        <v/>
      </c>
      <c r="CR26" s="31"/>
      <c r="CS26" s="31" t="str">
        <f t="shared" ca="1" si="50"/>
        <v/>
      </c>
      <c r="CT26" s="31" t="str">
        <f t="shared" ca="1" si="50"/>
        <v/>
      </c>
      <c r="CU26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Row],[Skala-Wert]])&gt;0,MAX(CS26:CT26),99))</f>
        <v>Keine Note</v>
      </c>
      <c r="CV26" s="202" t="str">
        <f t="shared" ca="1" si="51"/>
        <v/>
      </c>
      <c r="CW26" s="202" t="str">
        <f ca="1">IF(CV26=$A$2,CS$10&amp;Stammdaten!$AX$25,IF(CU26=INDEX(StdFehler[],3),CS$10&amp;Stammdaten!$AX$27,INDEX(INDIRECT($B$4),MATCH(CV26,INDIRECT($B$5),0))))</f>
        <v>Sprintdisziplinen nicht durchgeführt</v>
      </c>
      <c r="CX26" s="202" t="str">
        <f ca="1">IFERROR(INDEX(INDIRECT(CX$12),MATCH(CV26,StdDisziplinen[ID],0)),"")</f>
        <v/>
      </c>
      <c r="CY26" s="202" t="e">
        <f t="shared" ca="1" si="52"/>
        <v>#N/A</v>
      </c>
      <c r="CZ26" s="202" t="e">
        <f t="shared" ca="1" si="53"/>
        <v>#N/A</v>
      </c>
      <c r="DA26" s="98" t="str">
        <f t="shared" ca="1" si="223"/>
        <v/>
      </c>
      <c r="DB26" s="202" t="e">
        <f t="shared" ca="1" si="54"/>
        <v>#N/A</v>
      </c>
      <c r="DC26" s="202" t="str">
        <f t="shared" ca="1" si="55"/>
        <v/>
      </c>
      <c r="DD26" s="31" t="str">
        <f t="shared" ca="1" si="56"/>
        <v/>
      </c>
      <c r="DE26" s="31" t="str">
        <f t="shared" ca="1" si="56"/>
        <v/>
      </c>
      <c r="DF26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Row],[Skala-Wert]])&gt;0,MAX(DD26:DE26),99))</f>
        <v>Keine Note</v>
      </c>
      <c r="DG26" s="202" t="str">
        <f t="shared" ca="1" si="57"/>
        <v/>
      </c>
      <c r="DH26" s="202" t="str">
        <f ca="1">IF(DG26=$A$2,DD$10&amp;Stammdaten!$AX$25,IF(DF26=INDEX(StdFehler[],3),DD$10&amp;Stammdaten!$AX$27,INDEX(INDIRECT($B$4),MATCH(DG26,INDIRECT($B$5),0))))</f>
        <v>Ausdauerdisziplinen nicht durchgeführt</v>
      </c>
      <c r="DI26" s="202" t="str">
        <f ca="1">IFERROR(INDEX(INDIRECT(DI$12),MATCH(DG26,StdDisziplinen[ID],0)),"")</f>
        <v/>
      </c>
      <c r="DJ26" s="202" t="e">
        <f t="shared" ca="1" si="58"/>
        <v>#N/A</v>
      </c>
      <c r="DK26" s="202" t="e">
        <f t="shared" ca="1" si="59"/>
        <v>#N/A</v>
      </c>
      <c r="DL26" s="96" t="str">
        <f t="shared" ca="1" si="60"/>
        <v/>
      </c>
      <c r="DM26" s="202" t="e">
        <f t="shared" ca="1" si="61"/>
        <v>#N/A</v>
      </c>
      <c r="DN26" s="202" t="str">
        <f t="shared" ca="1" si="62"/>
        <v/>
      </c>
      <c r="DO26" s="31" t="str">
        <f t="shared" ca="1" si="63"/>
        <v/>
      </c>
      <c r="DP26" s="31" t="str">
        <f t="shared" ca="1" si="63"/>
        <v/>
      </c>
      <c r="DQ26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Row],[Skala-Wert]])&gt;0,MAX(DO26:DP26),99))</f>
        <v>Keine Note</v>
      </c>
      <c r="DR26" s="202" t="str">
        <f t="shared" ca="1" si="64"/>
        <v/>
      </c>
      <c r="DS26" s="202" t="str">
        <f ca="1">IF(DR26=$A$2,DO$10&amp;Stammdaten!$AX$25,IF(DQ26=INDEX(StdFehler[],3),DO$10&amp;Stammdaten!$AX$27,INDEX(INDIRECT($B$4),MATCH(DR26,INDIRECT($B$5),0))))</f>
        <v>Sprungdisziplinen nicht durchgeführt</v>
      </c>
      <c r="DT26" s="202" t="str">
        <f ca="1">IFERROR(INDEX(INDIRECT(DT$12),MATCH(DR26,StdDisziplinen[ID],0)),"")</f>
        <v/>
      </c>
      <c r="DU26" s="202" t="e">
        <f t="shared" ca="1" si="65"/>
        <v>#N/A</v>
      </c>
      <c r="DV26" s="202" t="e">
        <f t="shared" ca="1" si="66"/>
        <v>#N/A</v>
      </c>
      <c r="DW26" s="202" t="str">
        <f t="shared" ca="1" si="67"/>
        <v/>
      </c>
      <c r="DX26" s="202" t="e">
        <f t="shared" ca="1" si="68"/>
        <v>#N/A</v>
      </c>
      <c r="DY26" s="202" t="str">
        <f t="shared" ca="1" si="69"/>
        <v/>
      </c>
      <c r="DZ26" s="31" t="str">
        <f ca="1">IF(BallwurfSkalawert[[#This Row],[Skala-Wert]]=$A$3,$A$2,IF(ISNUMBER(BallwurfSkalawert[[#This Row],[Skala-Wert]]),BallwurfNote[[#This Row],[Note]],"!"))</f>
        <v>!</v>
      </c>
      <c r="EA26" s="31" t="str">
        <f ca="1">IF(KugelstossenSkalawert[[#This Row],[Skala-Wert]]=$A$3,$A$2,IF(ISNUMBER(KugelstossenSkalawert[[#This Row],[Skala-Wert]]),KugelstossenNote[[#This Row],[Note]],"!"))</f>
        <v>!</v>
      </c>
      <c r="EB26" s="31" t="str">
        <f ca="1">IF(SpeerwurfSkalawert[[#This Row],[Skala-Wert]]=$A$3,$A$2,IF(ISNUMBER(SpeerwurfSkalawert[[#This Row],[Skala-Wert]]),SpeerwurfNote[[#This Row],[Note]],"!"))</f>
        <v>!</v>
      </c>
      <c r="EC26" s="95" t="str">
        <f ca="1">IF(ED26&gt;0,MAX(DZ26:EB26),IF(EE26&gt;0,99,INDEX(StdFehler[StdFehler],3)))</f>
        <v>Keine Note</v>
      </c>
      <c r="ED26" s="202">
        <f t="shared" ca="1" si="70"/>
        <v>0</v>
      </c>
      <c r="EE26" s="202">
        <f t="shared" ca="1" si="71"/>
        <v>0</v>
      </c>
      <c r="EF26" s="202" t="str">
        <f t="shared" ca="1" si="72"/>
        <v/>
      </c>
      <c r="EG26" s="202" t="str">
        <f ca="1">IF(EF26=$A$2,DZ$10&amp;Stammdaten!$AX$25,IF(EC26=INDEX(StdFehler[],3),DZ$10&amp;Stammdaten!$AX$27,INDEX(INDIRECT($B$4),MATCH(EF26,INDIRECT($B$5),0))))</f>
        <v>Wurfdisziplinen nicht durchgeführt</v>
      </c>
      <c r="EH26" s="202" t="str">
        <f ca="1">IFERROR(INDEX(INDIRECT(EH$12),MATCH(EF26,StdDisziplinen[ID],0)),"")</f>
        <v/>
      </c>
      <c r="EI26" s="202" t="e">
        <f t="shared" ca="1" si="73"/>
        <v>#N/A</v>
      </c>
      <c r="EJ26" s="202" t="e">
        <f t="shared" ca="1" si="74"/>
        <v>#N/A</v>
      </c>
      <c r="EK26" s="98" t="str">
        <f t="shared" ca="1" si="75"/>
        <v/>
      </c>
      <c r="EL26" s="202" t="e">
        <f t="shared" ca="1" si="76"/>
        <v>#N/A</v>
      </c>
      <c r="EM26" s="202" t="str">
        <f t="shared" ca="1" si="77"/>
        <v/>
      </c>
      <c r="EN26" s="200">
        <f t="shared" ca="1" si="1"/>
        <v>0</v>
      </c>
      <c r="EO26" s="202">
        <f t="shared" ca="1" si="78"/>
        <v>0</v>
      </c>
      <c r="EP26" s="96">
        <f t="shared" ca="1" si="2"/>
        <v>0</v>
      </c>
      <c r="EQ26" s="96">
        <f t="shared" ca="1" si="3"/>
        <v>0</v>
      </c>
      <c r="ER26" s="96">
        <f t="shared" ca="1" si="4"/>
        <v>0</v>
      </c>
      <c r="ES26" s="96">
        <f t="shared" ca="1" si="5"/>
        <v>0</v>
      </c>
      <c r="ET26" s="202">
        <f t="shared" ca="1" si="79"/>
        <v>0</v>
      </c>
      <c r="EU26" s="202" t="str">
        <f ca="1">IF($EO26=$FA$4,Stammdaten!$AX$19,IF(COUNTIF($EP26:$ES26,0)&lt;&gt;0,INDEX(StdFehler[StdFehler],4),ROUND(SUM($ET26/$EN26)/$FC$4,0)*$FC$4))</f>
        <v>Zu wenige Noten</v>
      </c>
      <c r="EV26" s="202" t="str">
        <f t="shared" ca="1" si="6"/>
        <v>Zu wenige Noten</v>
      </c>
      <c r="EW26" s="202" t="str">
        <f t="shared" ca="1" si="80"/>
        <v>Zu wenige Noten</v>
      </c>
      <c r="EX26" s="202" t="str">
        <f t="shared" ca="1" si="80"/>
        <v>Zu wenige Noten</v>
      </c>
      <c r="EY26" s="202" t="str">
        <f t="shared" ca="1" si="80"/>
        <v>Zu wenige Noten</v>
      </c>
      <c r="EZ26" s="202" t="str">
        <f t="shared" ca="1" si="81"/>
        <v>Zu wenige Noten</v>
      </c>
      <c r="FA26" s="202" t="str">
        <f t="shared" ca="1" si="82"/>
        <v>Zu wenige Noten</v>
      </c>
      <c r="FB26" s="31"/>
      <c r="FC26" s="56" t="str">
        <f t="shared" ca="1" si="83"/>
        <v>Zu wenige Noten</v>
      </c>
      <c r="FD26" s="31"/>
      <c r="FE26" s="597"/>
      <c r="FF26" s="190"/>
      <c r="FJ26" s="31"/>
      <c r="FK26" s="597"/>
      <c r="FL26" s="190"/>
      <c r="FP26" s="31"/>
      <c r="FQ26" s="597"/>
      <c r="FR26" s="190"/>
      <c r="FV26" s="31"/>
      <c r="FW26" s="597"/>
      <c r="FX26" s="190"/>
      <c r="GB26" s="31"/>
      <c r="GC26" s="597"/>
      <c r="GD26" s="190"/>
      <c r="GF26" s="154"/>
      <c r="GH26" s="31"/>
      <c r="GI26" s="597"/>
      <c r="GJ26" s="190"/>
      <c r="GN26" s="45"/>
      <c r="GO26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6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6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6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6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6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6" s="202">
        <f t="shared" si="7"/>
        <v>0</v>
      </c>
      <c r="GV26" s="202">
        <f t="shared" si="8"/>
        <v>0</v>
      </c>
      <c r="GW26" s="202">
        <f t="shared" si="84"/>
        <v>0</v>
      </c>
      <c r="GX26" s="200" t="str">
        <f t="shared" si="85"/>
        <v>!</v>
      </c>
      <c r="GY26" s="200" t="str">
        <f t="shared" si="9"/>
        <v>!</v>
      </c>
      <c r="GZ26" s="200" t="str">
        <f t="shared" si="10"/>
        <v>!</v>
      </c>
      <c r="HA26" s="244" t="str">
        <f t="shared" si="86"/>
        <v>nd</v>
      </c>
      <c r="HB26" s="244" t="str">
        <f t="shared" si="87"/>
        <v>nd</v>
      </c>
      <c r="HC26" s="244" t="str">
        <f t="shared" si="88"/>
        <v>nd</v>
      </c>
      <c r="HD26" s="244" t="str">
        <f t="shared" si="89"/>
        <v>nd</v>
      </c>
      <c r="HE26" s="244" t="str">
        <f t="shared" si="90"/>
        <v>nd</v>
      </c>
      <c r="HF26" s="244" t="str">
        <f t="shared" si="91"/>
        <v>nd</v>
      </c>
      <c r="HG26" s="202" t="b">
        <f t="shared" si="92"/>
        <v>0</v>
      </c>
      <c r="HH26" s="202">
        <f t="shared" si="93"/>
        <v>1</v>
      </c>
      <c r="HI26" s="202">
        <f t="shared" si="94"/>
        <v>0</v>
      </c>
      <c r="HJ26" s="200" t="str">
        <f t="shared" si="95"/>
        <v/>
      </c>
      <c r="HK26" s="200" t="str">
        <f t="shared" si="96"/>
        <v/>
      </c>
      <c r="HL26" s="200">
        <f t="shared" si="97"/>
        <v>0</v>
      </c>
      <c r="HM26" s="202" t="str">
        <f t="shared" si="98"/>
        <v/>
      </c>
      <c r="HN26" s="200" t="str">
        <f t="shared" si="99"/>
        <v/>
      </c>
      <c r="HO26" s="200" t="str">
        <f t="shared" si="100"/>
        <v/>
      </c>
      <c r="HP26" s="200" t="str">
        <f t="shared" si="101"/>
        <v/>
      </c>
      <c r="HQ26" s="242" t="str">
        <f t="shared" si="102"/>
        <v/>
      </c>
      <c r="HR26" s="242" t="str">
        <f t="shared" si="103"/>
        <v/>
      </c>
      <c r="HS26" s="242" t="str">
        <f t="shared" si="104"/>
        <v/>
      </c>
      <c r="HT26" s="242" t="str">
        <f t="shared" ca="1" si="105"/>
        <v>Erstes Gerät</v>
      </c>
      <c r="HU26" s="242" t="str">
        <f ca="1">IF(HT26=$HS$12,Stammdaten!$AY$27,IF(HW26=$A$2,TRIM(Stammdaten!$AX$25),""))</f>
        <v>nicht durchgeführt</v>
      </c>
      <c r="HV26" s="242" t="str">
        <f t="shared" ca="1" si="106"/>
        <v/>
      </c>
      <c r="HW26" s="277" t="str">
        <f t="shared" si="11"/>
        <v/>
      </c>
      <c r="HX26" s="202" t="str">
        <f t="shared" si="107"/>
        <v/>
      </c>
      <c r="HY26" s="202" t="str">
        <f t="shared" ca="1" si="108"/>
        <v/>
      </c>
      <c r="HZ26" s="202" t="str">
        <f t="shared" ca="1" si="109"/>
        <v>StdDisziplinen[MaxTextSt]</v>
      </c>
      <c r="IA26" s="202" t="str">
        <f t="shared" ca="1" si="12"/>
        <v/>
      </c>
      <c r="IB26" s="202" t="b">
        <f t="shared" si="110"/>
        <v>0</v>
      </c>
      <c r="IC26" s="202" t="str">
        <f t="shared" si="111"/>
        <v/>
      </c>
      <c r="ID26" s="202" t="str">
        <f t="shared" si="112"/>
        <v/>
      </c>
      <c r="IE26" s="202" t="str">
        <f t="shared" si="113"/>
        <v/>
      </c>
      <c r="IF26" s="202" t="str">
        <f t="shared" si="114"/>
        <v/>
      </c>
      <c r="IG26" s="242" t="str">
        <f t="shared" si="115"/>
        <v/>
      </c>
      <c r="IH26" s="242" t="str">
        <f t="shared" si="116"/>
        <v/>
      </c>
      <c r="II26" s="242" t="str">
        <f t="shared" ca="1" si="13"/>
        <v>Zweites Gerät</v>
      </c>
      <c r="IJ26" s="242" t="str">
        <f ca="1">IF(II26=$IH$12,Stammdaten!$AY$27,IF(IL26=$A$2,TRIM(Stammdaten!$AX$25),""))</f>
        <v>nicht durchgeführt</v>
      </c>
      <c r="IK26" s="242" t="str">
        <f t="shared" ca="1" si="117"/>
        <v/>
      </c>
      <c r="IL26" s="200" t="str">
        <f t="shared" si="14"/>
        <v/>
      </c>
      <c r="IM26" s="202" t="str">
        <f t="shared" si="118"/>
        <v/>
      </c>
      <c r="IN26" s="202" t="str">
        <f t="shared" ca="1" si="119"/>
        <v/>
      </c>
      <c r="IO26" s="202" t="str">
        <f t="shared" ca="1" si="120"/>
        <v>StdDisziplinen[MaxTextSt]</v>
      </c>
      <c r="IP26" s="202" t="str">
        <f t="shared" ca="1" si="121"/>
        <v/>
      </c>
      <c r="IQ26" s="202" t="b">
        <f t="shared" si="122"/>
        <v>0</v>
      </c>
      <c r="IR26" s="242" t="str">
        <f t="shared" ca="1" si="15"/>
        <v>Drittes Gerät</v>
      </c>
      <c r="IS26" s="242" t="str">
        <f ca="1">IF(IR26=$IR$12,MID(Stammdaten!$AX$27,2,LEN(Stammdaten!$AX$27)),IF(IU26=$A$2,TRIM(Stammdaten!$AX$25),""))</f>
        <v>nicht durchgeführt</v>
      </c>
      <c r="IT26" s="242" t="str">
        <f t="shared" ca="1" si="16"/>
        <v/>
      </c>
      <c r="IU26" s="200" t="str">
        <f t="shared" si="17"/>
        <v/>
      </c>
      <c r="IV26" s="202" t="str">
        <f t="shared" si="123"/>
        <v/>
      </c>
      <c r="IW26" s="202" t="str">
        <f t="shared" ca="1" si="124"/>
        <v/>
      </c>
      <c r="IX26" s="202" t="str">
        <f t="shared" ca="1" si="125"/>
        <v>StdDisziplinen[MaxTextSt]</v>
      </c>
      <c r="IY26" s="202" t="str">
        <f t="shared" ca="1" si="18"/>
        <v/>
      </c>
      <c r="IZ26" s="200" t="str">
        <f>IF(NOT(GW26),INDEX(StdFehler[StdFehler],4),IF(COUNTIF(GX26:GZ26,$A$2)&gt;=$IZ$4,$A$3,SUM(GX26:GZ26)))</f>
        <v>Zu wenige Noten</v>
      </c>
      <c r="JA26" s="31"/>
      <c r="JB26" s="587" t="e">
        <f t="shared" si="19"/>
        <v>#VALUE!</v>
      </c>
      <c r="JC26" s="191" t="str">
        <f>IF(OR(Geschlecht[[#This Row],[Geschlecht (Skala)]]="",IZ26=""),"",MID(Geschlecht[[#This Row],[Geschlecht (Skala)]],1,1)&amp;MID($FE$16,1,1))</f>
        <v/>
      </c>
      <c r="JD26" s="190" t="str">
        <f>IF(OR(JC26="",IZ26=""),"",REPLACE(INDEX(StdDisziplinen[TabÜberschriftResultat],$FE$3),FIND("X",INDEX(StdDisziplinen[TabÜberschriftResultat],$FE$3),1),2,JC26))</f>
        <v/>
      </c>
      <c r="JE26" s="192" t="str">
        <f ca="1">IF(OR(JD26="",IZ26=Stammdaten!$AZ$5),"",IF(OR(IZ26=Stammdaten!$AX$22,IZ26=Stammdaten!$AX$19),Stammdaten!$AX$19,IF(ISNA(INDEX(INDIRECT(JD26),MATCH(GeräteturnenGerundet[[#This Row],[Rundung]],INDIRECT(JD26),$JD$16))),IF($JD$16=-1,LARGE(INDIRECT(JD26),1),SMALL(INDIRECT(JD26),1)),INDEX(INDIRECT(JD26),MATCH(GeräteturnenGerundet[[#This Row],[Rundung]],INDIRECT(JD26),$JD$16)))))</f>
        <v/>
      </c>
      <c r="JG26" s="18" t="str">
        <f ca="1">IF(GeräteturnenSkalawert[[#This Row],[Skala-Wert]]="","",REPLACE(INDEX(StdDisziplinen[TabÜberschriftNote],$FE$3),FIND("X",INDEX(StdDisziplinen[TabÜberschriftNote],$FE$3),1),2,JC26))</f>
        <v/>
      </c>
      <c r="JH26" s="45" t="str">
        <f ca="1">IF(OR(JG26="",GeräteturnenSkalawert[[#This Row],[Skala-Wert]]=Stammdaten!$AX$19),"",INDEX(INDIRECT(JG26),MATCH(GeräteturnenSkalawert[[#This Row],[Skala-Wert]],INDIRECT(JD26),0)))</f>
        <v/>
      </c>
      <c r="JI26" s="31"/>
      <c r="JJ26" s="597"/>
      <c r="JK26" s="190"/>
      <c r="JL26" s="587">
        <f>IF(JL$16,IF(JM$16=0.5,MROUND(ParkourResultat[[#This Row],[Resultat]],JM$16),ROUND(ParkourResultat[[#This Row],[Resultat]],JM$16)),ROUNDDOWN(ParkourResultat[[#This Row],[Resultat]],JM$16))</f>
        <v>0</v>
      </c>
      <c r="JM26" s="191" t="str">
        <f>IF(OR(Geschlecht[[#This Row],[Geschlecht (Skala)]]="",JJ$16=""),"",MID(Geschlecht[[#This Row],[Geschlecht (Skala)]],1,1)&amp;MID(JJ$16,1,1))</f>
        <v/>
      </c>
      <c r="JN26" s="190" t="str">
        <f>IF(OR(JM26="",ParkourResultat[[#This Row],[Resultat]]=""),"",REPLACE(INDEX(StdDisziplinen[TabÜberschriftResultat],JJ$3),FIND("X",INDEX(StdDisziplinen[TabÜberschriftResultat],JJ$3),1),2,JM26))</f>
        <v/>
      </c>
      <c r="JO26" s="192" t="str">
        <f ca="1">IF(JN26="","",IF(OR(ParkourResultat[[#This Row],[Resultat]]=Stammdaten!$AX$22,ParkourResultat[[#This Row],[Resultat]]=Stammdaten!$AX$19),Stammdaten!$AX$19,IF(ISNA(INDEX(INDIRECT(JN26),MATCH(ParkourGerundet[[#This Row],[Rundung]],INDIRECT(JN26),JN$18))),IF(JN$18=-1,LARGE(INDIRECT(JN26),1),SMALL(INDIRECT(JN26),1)),INDEX(INDIRECT(JN26),MATCH(ParkourGerundet[[#This Row],[Rundung]],INDIRECT(JN26),JN$18)))))</f>
        <v/>
      </c>
      <c r="JQ26" s="18" t="str">
        <f ca="1">IF(ParkourSkalawert[[#This Row],[Skala-Wert]]="","",REPLACE(INDEX(StdDisziplinen[TabÜberschriftNote],JJ$3),FIND("X",INDEX(StdDisziplinen[TabÜberschriftNote],JJ$3),1),2,JM26))</f>
        <v/>
      </c>
      <c r="JR26" s="31" t="str">
        <f ca="1">IF(OR(JQ26="",ParkourSkalawert[[#This Row],[Skala-Wert]]=Stammdaten!$AX$19),"",INDEX(INDIRECT(JQ26),MATCH(ParkourSkalawert[[#This Row],[Skala-Wert]],INDIRECT(JN26),0)))</f>
        <v/>
      </c>
      <c r="JS26" s="96"/>
      <c r="JT26" s="47" t="str">
        <f ca="1">IF(OR(ISNUMBER(ParkourSkalawert[[#This Row],[Skala-Wert]]),ParkourSkalawert[[#This Row],[Skala-Wert]]=$A$3),INDEX(INDIRECT($JU$1),MATCH($JJ$3,INDIRECT($B$5),0)),"")</f>
        <v/>
      </c>
      <c r="JU26" s="200" t="str">
        <f t="shared" ca="1" si="126"/>
        <v>StdDisziplinen[MaxTextSt]</v>
      </c>
      <c r="JV26" s="200" t="str">
        <f t="shared" ca="1" si="127"/>
        <v/>
      </c>
      <c r="JW26" s="98">
        <f ca="1">IF(GeräteturnenSkalawert[[#This Row],[Skala-Wert]]=$A$3,$A$2,IF(GeräteturnenNote[[#This Row],[Note]]="",0,GeräteturnenNote[[#This Row],[Note]]))</f>
        <v>0</v>
      </c>
      <c r="JX26" s="96">
        <f ca="1">IF(ParkourSkalawert[[#This Row],[Skala-Wert]]=$A$3,$A$2,IF(ParkourNote[[#This Row],[Note]]="",0,ParkourNote[[#This Row],[Note]]))</f>
        <v>0</v>
      </c>
      <c r="JY26" s="200">
        <f t="shared" ca="1" si="128"/>
        <v>0</v>
      </c>
      <c r="JZ26" s="200">
        <f t="shared" ca="1" si="129"/>
        <v>0</v>
      </c>
      <c r="KA26" s="202">
        <f t="shared" ca="1" si="130"/>
        <v>0</v>
      </c>
      <c r="KB26" s="98" t="str">
        <f t="shared" ca="1" si="20"/>
        <v>!</v>
      </c>
      <c r="KC26" s="98" t="str">
        <f t="shared" ca="1" si="21"/>
        <v>!</v>
      </c>
      <c r="KD26" s="202" t="str">
        <f ca="1">IF(NOT(KA26),INDEX(StdFehler[StdFehler],4),IF(JZ26=$KA$12,$A$3,IF(JW26=$A$2,JX26,IF(JX26=$A$2,JW26,CONCATENATE(JW26,", ",JX26)))))</f>
        <v>Zu wenige Noten</v>
      </c>
      <c r="KE26" s="202" t="str">
        <f t="shared" ca="1" si="131"/>
        <v>Zu wenige Noten</v>
      </c>
      <c r="KF26" s="31"/>
      <c r="KG26" s="56" t="str">
        <f ca="1">IF(NOT(KA26),INDEX(StdFehler[StdFehler],4),IF(JZ26=$KA$12,$A$3,ROUND(AVERAGE(KB26:KC26)/$KG$4,0)*$KG$4))</f>
        <v>Zu wenige Noten</v>
      </c>
      <c r="KH26" s="31"/>
      <c r="KI26" s="599"/>
      <c r="KJ26" s="190"/>
      <c r="KK26" s="586">
        <f>IF(KK$16,IF(KL$16=0.5,MROUND(TanzenResultat[[#This Row],[Resultat]],KL$16),ROUND(TanzenResultat[[#This Row],[Resultat]],KL$16)),ROUNDDOWN(TanzenResultat[[#This Row],[Resultat]],KL$16))</f>
        <v>0</v>
      </c>
      <c r="KL26" s="191" t="str">
        <f>IF(OR(Geschlecht[[#This Row],[Geschlecht (Skala)]]="",KI$16=""),"",MID(Geschlecht[[#This Row],[Geschlecht (Skala)]],1,1)&amp;MID(KI$16,1,1))</f>
        <v/>
      </c>
      <c r="KM26" s="190" t="str">
        <f>IF(OR(KL26="",TanzenResultat[[#This Row],[Resultat]]=""),"",REPLACE(INDEX(StdDisziplinen[TabÜberschriftResultat],KI$3),FIND("X",INDEX(StdDisziplinen[TabÜberschriftResultat],KI$3),1),2,KL26))</f>
        <v/>
      </c>
      <c r="KN26" s="31" t="str">
        <f ca="1">IF(KM26="","",IF(OR(TanzenResultat[[#This Row],[Resultat]]=Stammdaten!$AX$22,TanzenResultat[[#This Row],[Resultat]]=Stammdaten!$AX$19),Stammdaten!$AX$19,IF(ISNA(INDEX(INDIRECT(KM26),MATCH(TanzenGerundet[[#This Row],[Rundung]],INDIRECT(KM26),KM$18))),IF(KM$18=-1,LARGE(INDIRECT(KM26),1),SMALL(INDIRECT(KM26),1)),INDEX(INDIRECT(KM26),MATCH(TanzenGerundet[[#This Row],[Rundung]],INDIRECT(KM26),KM$18)))))</f>
        <v/>
      </c>
      <c r="KP26" s="18" t="str">
        <f ca="1">IF(TanzenSkalawert[[#This Row],[Skala-Wert]]="","",REPLACE(INDEX(StdDisziplinen[TabÜberschriftNote],KI$3),FIND("X",INDEX(StdDisziplinen[TabÜberschriftNote],KI$3),1),2,KL26))</f>
        <v/>
      </c>
      <c r="KQ26" s="45" t="str">
        <f ca="1">IF(OR(KP26="",TanzenSkalawert[[#This Row],[Skala-Wert]]=Stammdaten!$AX$19),"",INDEX(INDIRECT(KP26),MATCH(TanzenSkalawert[[#This Row],[Skala-Wert]],INDIRECT(KM26),0)))</f>
        <v/>
      </c>
      <c r="KR26" s="31"/>
      <c r="KS26" s="597"/>
      <c r="KT26" s="190"/>
      <c r="KU26" s="587">
        <f>IF(KU$16,IF(KV$16=0.5,MROUND(RopeSkippingResultat[[#This Row],[Resultat]],KV$16),ROUND(RopeSkippingResultat[[#This Row],[Resultat]],KV$16)),ROUNDDOWN(RopeSkippingResultat[[#This Row],[Resultat]],KV$16))</f>
        <v>0</v>
      </c>
      <c r="KV26" s="191" t="str">
        <f>IF(OR(Geschlecht[[#This Row],[Geschlecht (Skala)]]="",KS$16=""),"",MID(Geschlecht[[#This Row],[Geschlecht (Skala)]],1,1)&amp;MID(KS$16,1,1))</f>
        <v/>
      </c>
      <c r="KW26" s="190" t="str">
        <f>IF(OR(KV26="",RopeSkippingResultat[[#This Row],[Resultat]]=""),"",REPLACE(INDEX(StdDisziplinen[TabÜberschriftResultat],KS$3),FIND("X",INDEX(StdDisziplinen[TabÜberschriftResultat],KS$3),1),2,KV26))</f>
        <v/>
      </c>
      <c r="KX26" s="192" t="str">
        <f ca="1">IF(KW26="","",IF(OR(RopeSkippingResultat[[#This Row],[Resultat]]=Stammdaten!$AX$22,RopeSkippingResultat[[#This Row],[Resultat]]=Stammdaten!$AX$19),Stammdaten!$AX$19,IF(ISNA(INDEX(INDIRECT(KW26),MATCH(RopeSkippingGerundet[[#This Row],[Rundung]],INDIRECT(KW26),KW$18))),IF(KW$18=-1,LARGE(INDIRECT(KW26),1),SMALL(INDIRECT(KW26),1)),INDEX(INDIRECT(KW26),MATCH(RopeSkippingGerundet[[#This Row],[Rundung]],INDIRECT(KW26),KW$18)))))</f>
        <v/>
      </c>
      <c r="KZ26" s="18" t="str">
        <f ca="1">IF(RopeSkippingSkalawert[[#This Row],[Skala-Wert]]="","",REPLACE(INDEX(StdDisziplinen[TabÜberschriftNote],KS$3),FIND("X",INDEX(StdDisziplinen[TabÜberschriftNote],KS$3),1),2,KV26))</f>
        <v/>
      </c>
      <c r="LA26" s="45" t="str">
        <f ca="1">IF(OR(KZ26="",RopeSkippingSkalawert[[#This Row],[Skala-Wert]]=Stammdaten!$AX$19),"",INDEX(INDIRECT(KZ26),MATCH(RopeSkippingSkalawert[[#This Row],[Skala-Wert]],INDIRECT(KW26),0)))</f>
        <v/>
      </c>
      <c r="LB26" s="31"/>
      <c r="LC26" s="599"/>
      <c r="LD26" s="190"/>
      <c r="LE26" s="586">
        <f>IF(LE$16,IF(LF$16=0.5,MROUND(AerobicResultat[[#This Row],[Resultat]],LF$16),ROUND(AerobicResultat[[#This Row],[Resultat]],LF$16)),ROUNDDOWN(AerobicResultat[[#This Row],[Resultat]],LF$16))</f>
        <v>0</v>
      </c>
      <c r="LF26" s="191" t="str">
        <f>IF(OR(Geschlecht[[#This Row],[Geschlecht (Skala)]]="",LC$16=""),"",MID(Geschlecht[[#This Row],[Geschlecht (Skala)]],1,1)&amp;MID(LC$16,1,1))</f>
        <v/>
      </c>
      <c r="LG26" s="190" t="str">
        <f>IF(OR(LF26="",AerobicResultat[[#This Row],[Resultat]]=""),"",REPLACE(INDEX(StdDisziplinen[TabÜberschriftResultat],LC$3),FIND("X",INDEX(StdDisziplinen[TabÜberschriftResultat],LC$3),1),2,LF26))</f>
        <v/>
      </c>
      <c r="LH26" s="31" t="str">
        <f ca="1">IF(LG26="","",IF(OR(AerobicResultat[[#This Row],[Resultat]]=Stammdaten!$AX$22,AerobicResultat[[#This Row],[Resultat]]=Stammdaten!$AX$19),Stammdaten!$AX$19,IF(ISNA(INDEX(INDIRECT(LG26),MATCH(AerobicGerundet[[#This Row],[Rundung]],INDIRECT(LG26),LG$18))),IF(LG$18=-1,LARGE(INDIRECT(LG26),1),SMALL(INDIRECT(LG26),1)),INDEX(INDIRECT(LG26),MATCH(AerobicGerundet[[#This Row],[Rundung]],INDIRECT(LG26),LG$18)))))</f>
        <v/>
      </c>
      <c r="LJ26" s="18" t="str">
        <f ca="1">IF(AerobicSkalawert[[#This Row],[Skala-Wert]]="","",REPLACE(INDEX(StdDisziplinen[TabÜberschriftNote],LC$3),FIND("X",INDEX(StdDisziplinen[TabÜberschriftNote],LC$3),1),2,LF26))</f>
        <v/>
      </c>
      <c r="LK26" s="45" t="str">
        <f ca="1">IF(OR(LJ26="",AerobicSkalawert[[#This Row],[Skala-Wert]]=Stammdaten!$AX$19),"",INDEX(INDIRECT(LJ26),MATCH(AerobicSkalawert[[#This Row],[Skala-Wert]],INDIRECT(LG26),0)))</f>
        <v/>
      </c>
      <c r="LL26" s="31"/>
      <c r="LM26" s="45" t="str">
        <f ca="1">IF(TanzenSkalawert[[#This Row],[Skala-Wert]]=$A$3,$A$2,IF(ISNUMBER(TanzenSkalawert[[#This Row],[Skala-Wert]]),TanzenNote[[#This Row],[Note]],"!"))</f>
        <v>!</v>
      </c>
      <c r="LN26" s="45" t="str">
        <f ca="1">IF(RopeSkippingSkalawert[[#This Row],[Skala-Wert]]=$A$3,$A$2,IF(ISNUMBER(RopeSkippingSkalawert[[#This Row],[Skala-Wert]]),RopeSkippingNote[[#This Row],[Note]],"!"))</f>
        <v>!</v>
      </c>
      <c r="LO26" s="45" t="str">
        <f ca="1">IF(AerobicSkalawert[[#This Row],[Skala-Wert]]=$A$3,$A$2,IF(ISNUMBER(AerobicSkalawert[[#This Row],[Skala-Wert]]),AerobicNote[[#This Row],[Note]],"!"))</f>
        <v>!</v>
      </c>
      <c r="LP26" s="36">
        <f t="shared" ca="1" si="132"/>
        <v>0</v>
      </c>
      <c r="LQ26" s="36">
        <f t="shared" ca="1" si="133"/>
        <v>0</v>
      </c>
      <c r="LR26" s="244" t="str">
        <f t="shared" ca="1" si="22"/>
        <v>nd</v>
      </c>
      <c r="LS26" s="244" t="str">
        <f t="shared" ca="1" si="23"/>
        <v>nd</v>
      </c>
      <c r="LT26" s="244" t="str">
        <f t="shared" ca="1" si="24"/>
        <v>nd</v>
      </c>
      <c r="LU26" s="242" t="str">
        <f t="shared" ca="1" si="25"/>
        <v/>
      </c>
      <c r="LV26" s="242" t="str">
        <f t="shared" ca="1" si="134"/>
        <v/>
      </c>
      <c r="LW26" s="242" t="str">
        <f t="shared" ca="1" si="135"/>
        <v/>
      </c>
      <c r="LX26" s="242" t="str">
        <f ca="1">IF(LW26="",Stammdaten!$AM$4,INDEX(INDIRECT($B$4),MATCH($LW26,INDIRECT($B$5),0)))</f>
        <v>Darstellen und Tanzen</v>
      </c>
      <c r="LY26" s="242" t="str">
        <f ca="1">IF(LW26="",Stammdaten!$AY$27,IF(ISNUMBER(LU26),LX26,IF(ISNUMBER(LV26),TRIM(Stammdaten!$AX$25),"")))</f>
        <v>nicht durchgeführt</v>
      </c>
      <c r="LZ26" s="242" t="str">
        <f t="shared" ca="1" si="136"/>
        <v>Darstellen und Tanzen</v>
      </c>
      <c r="MA26" s="242" t="str">
        <f t="shared" ca="1" si="137"/>
        <v/>
      </c>
      <c r="MB26" s="242" t="str">
        <f t="shared" ca="1" si="26"/>
        <v>Darstellen und TanzenResultat[@Resultat]</v>
      </c>
      <c r="MC26" s="274" t="str">
        <f t="shared" ca="1" si="138"/>
        <v/>
      </c>
      <c r="MD26" s="242" t="str">
        <f t="shared" ca="1" si="139"/>
        <v>Darstellen und TanzenSkalawert[@[Skala-Wert]]</v>
      </c>
      <c r="ME26" s="274" t="str">
        <f t="shared" ca="1" si="140"/>
        <v/>
      </c>
      <c r="MF26" s="47" t="str">
        <f t="shared" ca="1" si="27"/>
        <v/>
      </c>
      <c r="MG26" s="200" t="str">
        <f t="shared" ca="1" si="141"/>
        <v>StdDisziplinen[MaxTextSt]</v>
      </c>
      <c r="MH26" s="200" t="str">
        <f t="shared" ca="1" si="142"/>
        <v/>
      </c>
      <c r="MI26" s="45"/>
      <c r="MJ26" s="98" t="str">
        <f ca="1">IF(LP26&gt;0,MAX(LM26:LO26),IF(LQ26&gt;0,$A$3,INDEX(StdFehler[StdFehler],4)))</f>
        <v>Zu wenige Noten</v>
      </c>
      <c r="MK26" s="45"/>
      <c r="ML26" s="37"/>
      <c r="MM26" s="190"/>
      <c r="MN26" s="586">
        <f>IF(MN$16,IF(MO$16=0.5,MROUND(BasketballResultat[[#This Row],[Resultat]],MO$16),ROUND(BasketballResultat[[#This Row],[Resultat]],MO$16)),ROUNDDOWN(BasketballResultat[[#This Row],[Resultat]],MO$16))</f>
        <v>0</v>
      </c>
      <c r="MO26" s="191" t="str">
        <f>IF(OR(Geschlecht[[#This Row],[Geschlecht (Skala)]]="",ML$16=""),"",MID(Geschlecht[[#This Row],[Geschlecht (Skala)]],1,1)&amp;MID(ML$16,1,1))</f>
        <v/>
      </c>
      <c r="MP26" s="190" t="str">
        <f>IF(OR(MO26="",BasketballResultat[[#This Row],[Resultat]]=""),"",REPLACE(INDEX(StdDisziplinen[TabÜberschriftResultat],ML$3),FIND("X",INDEX(StdDisziplinen[TabÜberschriftResultat],ML$3),1),2,MO26))</f>
        <v/>
      </c>
      <c r="MQ26" s="31" t="str">
        <f ca="1">IF(MP26="","",IF(OR(BasketballResultat[[#This Row],[Resultat]]=Stammdaten!$AX$22,BasketballResultat[[#This Row],[Resultat]]=Stammdaten!$AX$19),Stammdaten!$AX$19,IF(ISNA(INDEX(INDIRECT(MP26),MATCH(BasketballGerundet[[#This Row],[Rundung]],INDIRECT(MP26),MP$18))),IF(MP$18=-1,LARGE(INDIRECT(MP26),1),SMALL(INDIRECT(MP26),1)),INDEX(INDIRECT(MP26),MATCH(BasketballGerundet[[#This Row],[Rundung]],INDIRECT(MP26),MP$18)))))</f>
        <v/>
      </c>
      <c r="MS26" s="18" t="str">
        <f ca="1">IF(BasketballSkalawert[[#This Row],[Skala-Wert]]="","",REPLACE(INDEX(StdDisziplinen[TabÜberschriftNote],ML$3),FIND("X",INDEX(StdDisziplinen[TabÜberschriftNote],ML$3),1),2,MO26))</f>
        <v/>
      </c>
      <c r="MT26" s="31" t="str">
        <f ca="1">IF(OR(MS26="",BasketballSkalawert[[#This Row],[Skala-Wert]]=Stammdaten!$AX$19),"",INDEX(INDIRECT(MS26),MATCH(BasketballSkalawert[[#This Row],[Skala-Wert]],INDIRECT(MP26),0)))</f>
        <v/>
      </c>
      <c r="MU26" s="31"/>
      <c r="MV26" s="37"/>
      <c r="MW26" s="190"/>
      <c r="MX26" s="586">
        <f>IF(MX$16,IF(MY$16=0.5,MROUND(FussballResultat[[#This Row],[Resultat]],MY$16),ROUND(FussballResultat[[#This Row],[Resultat]],MY$16)),ROUNDDOWN(FussballResultat[[#This Row],[Resultat]],MY$16))</f>
        <v>0</v>
      </c>
      <c r="MY26" s="191" t="str">
        <f>IF(OR(Geschlecht[[#This Row],[Geschlecht (Skala)]]="",MV$16=""),"",MID(Geschlecht[[#This Row],[Geschlecht (Skala)]],1,1)&amp;MID(MV$16,1,1))</f>
        <v/>
      </c>
      <c r="MZ26" s="190" t="str">
        <f>IF(OR(MY26="",FussballResultat[[#This Row],[Resultat]]=""),"",REPLACE(INDEX(StdDisziplinen[TabÜberschriftResultat],MV$3),FIND("X",INDEX(StdDisziplinen[TabÜberschriftResultat],MV$3),1),2,MY26))</f>
        <v/>
      </c>
      <c r="NA26" s="31" t="str">
        <f ca="1">IF(MZ26="","",IF(OR(FussballResultat[[#This Row],[Resultat]]=Stammdaten!$AX$22,FussballResultat[[#This Row],[Resultat]]=Stammdaten!$AX$19),Stammdaten!$AX$19,IF(ISNA(INDEX(INDIRECT(MZ26),MATCH(FussballGerundet[[#This Row],[Rundung]],INDIRECT(MZ26),MZ$18))),IF(MZ$18=-1,LARGE(INDIRECT(MZ26),1),SMALL(INDIRECT(MZ26),1)),INDEX(INDIRECT(MZ26),MATCH(FussballGerundet[[#This Row],[Rundung]],INDIRECT(MZ26),MZ$18)))))</f>
        <v/>
      </c>
      <c r="NC26" s="18" t="str">
        <f ca="1">IF(FussballSkalawert[[#This Row],[Skala-Wert]]="","",REPLACE(INDEX(StdDisziplinen[TabÜberschriftNote],MV$3),FIND("X",INDEX(StdDisziplinen[TabÜberschriftNote],MV$3),1),2,MY26))</f>
        <v/>
      </c>
      <c r="ND26" s="31" t="str">
        <f ca="1">IF(OR(NC26="",FussballSkalawert[[#This Row],[Skala-Wert]]=Stammdaten!$AX$19),"",INDEX(INDIRECT(NC26),MATCH(FussballSkalawert[[#This Row],[Skala-Wert]],INDIRECT(MZ26),0)))</f>
        <v/>
      </c>
      <c r="NE26" s="31"/>
      <c r="NF26" s="37"/>
      <c r="NG26" s="190"/>
      <c r="NH26" s="586">
        <f>IF(NH$16,IF(NI$16=0.5,MROUND(HandballResultat[[#This Row],[Resultat]],NI$16),ROUND(HandballResultat[[#This Row],[Resultat]],NI$16)),ROUNDDOWN(HandballResultat[[#This Row],[Resultat]],NI$16))</f>
        <v>0</v>
      </c>
      <c r="NI26" s="191" t="str">
        <f>IF(OR(Geschlecht[[#This Row],[Geschlecht (Skala)]]="",NF$16=""),"",MID(Geschlecht[[#This Row],[Geschlecht (Skala)]],1,1)&amp;MID(NF$16,1,1))</f>
        <v/>
      </c>
      <c r="NJ26" s="190" t="str">
        <f>IF(OR(NI26="",HandballResultat[[#This Row],[Resultat]]=""),"",REPLACE(INDEX(StdDisziplinen[TabÜberschriftResultat],NF$3),FIND("X",INDEX(StdDisziplinen[TabÜberschriftResultat],NF$3),1),2,NI26))</f>
        <v/>
      </c>
      <c r="NK26" s="31" t="str">
        <f ca="1">IF(NJ26="","",IF(OR(HandballResultat[[#This Row],[Resultat]]=Stammdaten!$AX$22,HandballResultat[[#This Row],[Resultat]]=Stammdaten!$AX$19),Stammdaten!$AX$19,IF(ISNA(INDEX(INDIRECT(NJ26),MATCH(HandballGerundet[[#This Row],[Rundung]],INDIRECT(NJ26),NJ$18))),IF(NJ$18=-1,LARGE(INDIRECT(NJ26),1),SMALL(INDIRECT(NJ26),1)),INDEX(INDIRECT(NJ26),MATCH(HandballGerundet[[#This Row],[Rundung]],INDIRECT(NJ26),NJ$18)))))</f>
        <v/>
      </c>
      <c r="NM26" s="18" t="str">
        <f ca="1">IF(HandballSkalawert[[#This Row],[Skala-Wert]]="","",REPLACE(INDEX(StdDisziplinen[TabÜberschriftNote],NF$3),FIND("X",INDEX(StdDisziplinen[TabÜberschriftNote],NF$3),1),2,NI26))</f>
        <v/>
      </c>
      <c r="NN26" s="31" t="str">
        <f ca="1">IF(OR(NM26="",HandballSkalawert[[#This Row],[Skala-Wert]]=Stammdaten!$AX$19),"",INDEX(INDIRECT(NM26),MATCH(HandballSkalawert[[#This Row],[Skala-Wert]],INDIRECT(NJ26),0)))</f>
        <v/>
      </c>
      <c r="NO26" s="31"/>
      <c r="NP26" s="37"/>
      <c r="NQ26" s="190"/>
      <c r="NR26" s="586">
        <f>IF(NR$16,IF(NS$16=0.5,MROUND(UnihockeyResultat[[#This Row],[Resultat]],NS$16),ROUND(UnihockeyResultat[[#This Row],[Resultat]],NS$16)),ROUNDDOWN(UnihockeyResultat[[#This Row],[Resultat]],NS$16))</f>
        <v>0</v>
      </c>
      <c r="NS26" s="191" t="str">
        <f>IF(OR(Geschlecht[[#This Row],[Geschlecht (Skala)]]="",NP$16=""),"",MID(Geschlecht[[#This Row],[Geschlecht (Skala)]],1,1)&amp;MID(NP$16,1,1))</f>
        <v/>
      </c>
      <c r="NT26" s="190" t="str">
        <f>IF(OR(NS26="",UnihockeyResultat[[#This Row],[Resultat]]=""),"",REPLACE(INDEX(StdDisziplinen[TabÜberschriftResultat],NP$3),FIND("X",INDEX(StdDisziplinen[TabÜberschriftResultat],NP$3),1),2,NS26))</f>
        <v/>
      </c>
      <c r="NU26" s="31" t="str">
        <f ca="1">IF(NT26="","",IF(OR(UnihockeyResultat[[#This Row],[Resultat]]=Stammdaten!$AX$22,UnihockeyResultat[[#This Row],[Resultat]]=Stammdaten!$AX$19),Stammdaten!$AX$19,IF(ISNA(INDEX(INDIRECT(NT26),MATCH(UnihockeyGerundet[[#This Row],[Rundung]],INDIRECT(NT26),NT$18))),IF(NT$18=-1,LARGE(INDIRECT(NT26),1),SMALL(INDIRECT(NT26),1)),INDEX(INDIRECT(NT26),MATCH(UnihockeyGerundet[[#This Row],[Rundung]],INDIRECT(NT26),NT$18)))))</f>
        <v/>
      </c>
      <c r="NW26" s="18" t="str">
        <f ca="1">IF(UnihockeySkalawert[[#This Row],[Skala-Wert]]="","",REPLACE(INDEX(StdDisziplinen[TabÜberschriftNote],NP$3),FIND("X",INDEX(StdDisziplinen[TabÜberschriftNote],NP$3),1),2,NS26))</f>
        <v/>
      </c>
      <c r="NX26" s="31" t="str">
        <f ca="1">IF(OR(NW26="",UnihockeySkalawert[[#This Row],[Skala-Wert]]=Stammdaten!$AX$19),"",INDEX(INDIRECT(NW26),MATCH(UnihockeySkalawert[[#This Row],[Skala-Wert]],INDIRECT(NT26),0)))</f>
        <v/>
      </c>
      <c r="NY26" s="31"/>
      <c r="NZ26" s="597"/>
      <c r="OA26" s="190"/>
      <c r="OB26" s="587">
        <f>IF(OB$16,IF(OC$16=0.5,MROUND(VolleyballResultat[[#This Row],[Resultat]],OC$16),ROUND(VolleyballResultat[[#This Row],[Resultat]],OC$16)),ROUNDDOWN(VolleyballResultat[[#This Row],[Resultat]],OC$16))</f>
        <v>0</v>
      </c>
      <c r="OC26" s="191" t="str">
        <f>IF(OR(Geschlecht[[#This Row],[Geschlecht (Skala)]]="",NZ$16=""),"",MID(Geschlecht[[#This Row],[Geschlecht (Skala)]],1,1)&amp;MID(NZ$16,1,1))</f>
        <v/>
      </c>
      <c r="OD26" s="190" t="str">
        <f>IF(OR(OC26="",VolleyballResultat[[#This Row],[Resultat]]=""),"",REPLACE(INDEX(StdDisziplinen[TabÜberschriftResultat],NZ$3),FIND("X",INDEX(StdDisziplinen[TabÜberschriftResultat],NZ$3),1),2,OC26))</f>
        <v/>
      </c>
      <c r="OE26" s="192" t="str">
        <f ca="1">IF(OD26="","",IF(OR(VolleyballResultat[[#This Row],[Resultat]]=Stammdaten!$AX$22,VolleyballResultat[[#This Row],[Resultat]]=Stammdaten!$AX$19),Stammdaten!$AX$19,IF(ISNA(INDEX(INDIRECT(OD26),MATCH(VolleyballGerundet[[#This Row],[Rundung]],INDIRECT(OD26),OD$18))),IF(OD$18=-1,LARGE(INDIRECT(OD26),1),SMALL(INDIRECT(OD26),1)),INDEX(INDIRECT(OD26),MATCH(VolleyballGerundet[[#This Row],[Rundung]],INDIRECT(OD26),OD$18)))))</f>
        <v/>
      </c>
      <c r="OG26" s="18" t="str">
        <f ca="1">IF(VolleyballSkalawert[[#This Row],[Skala-Wert]]="","",REPLACE(INDEX(StdDisziplinen[TabÜberschriftNote],NZ$3),FIND("X",INDEX(StdDisziplinen[TabÜberschriftNote],NZ$3),1),2,OC26))</f>
        <v/>
      </c>
      <c r="OH26" s="31" t="str">
        <f ca="1">IF(OR(OG26="",VolleyballSkalawert[[#This Row],[Skala-Wert]]=Stammdaten!$AX$19),"",INDEX(INDIRECT(OG26),MATCH(VolleyballSkalawert[[#This Row],[Skala-Wert]],INDIRECT(OD26),0)))</f>
        <v/>
      </c>
      <c r="OI26" s="45"/>
      <c r="OJ26" s="31">
        <f ca="1">IF(BasketballSkalawert[[#This Row],[Skala-Wert]]=$A$3,$A$2,IF(BasketballNote[[#This Row],[Note]]="",0,BasketballNote[[#This Row],[Note]]))</f>
        <v>0</v>
      </c>
      <c r="OK26" s="31">
        <f ca="1">IF(FussballSkalawert[[#This Row],[Skala-Wert]]=$A$3,$A$2,IF(FussballNote[[#This Row],[Note]]="",0,FussballNote[[#This Row],[Note]]))</f>
        <v>0</v>
      </c>
      <c r="OL26" s="31">
        <f ca="1">IF(HandballSkalawert[[#This Row],[Skala-Wert]]=$A$3,$A$2,IF(HandballNote[[#This Row],[Note]]="",0,HandballNote[[#This Row],[Note]]))</f>
        <v>0</v>
      </c>
      <c r="OM26" s="31">
        <f ca="1">IF(UnihockeySkalawert[[#This Row],[Skala-Wert]]=$A$3,$A$2,IF(UnihockeyNote[[#This Row],[Note]]="",0,UnihockeyNote[[#This Row],[Note]]))</f>
        <v>0</v>
      </c>
      <c r="ON26" s="31">
        <f ca="1">IF(VolleyballSkalawert[[#This Row],[Skala-Wert]]=$A$3,$A$2,IF(VolleyballNote[[#This Row],[Note]]="",0,VolleyballNote[[#This Row],[Note]]))</f>
        <v>0</v>
      </c>
      <c r="OO26" s="202">
        <f t="shared" ca="1" si="28"/>
        <v>0</v>
      </c>
      <c r="OP26" s="202">
        <f t="shared" ca="1" si="29"/>
        <v>0</v>
      </c>
      <c r="OQ26" s="202">
        <f t="shared" ca="1" si="143"/>
        <v>0</v>
      </c>
      <c r="OR26" s="96" t="str">
        <f t="shared" ca="1" si="144"/>
        <v>!</v>
      </c>
      <c r="OS26" s="96" t="str">
        <f t="shared" ca="1" si="30"/>
        <v>!</v>
      </c>
      <c r="OT26" s="96" t="str">
        <f t="shared" ca="1" si="31"/>
        <v>!</v>
      </c>
      <c r="OU26" s="96" t="str">
        <f ca="1">IF(NOT(OQ26),INDEX(StdFehler[StdFehler],4),IF(COUNTIF(OR26:OT26,$A$2)&gt;=$OQ$13,$A$3,ROUND(AVERAGE(OR26:OT26)/$RX$4,0)*$RX$4))</f>
        <v>Zu wenige Noten</v>
      </c>
      <c r="OV26" s="244" t="str">
        <f t="shared" ca="1" si="145"/>
        <v>nd</v>
      </c>
      <c r="OW26" s="244" t="str">
        <f t="shared" ca="1" si="146"/>
        <v>nd</v>
      </c>
      <c r="OX26" s="244" t="str">
        <f t="shared" ca="1" si="147"/>
        <v>nd</v>
      </c>
      <c r="OY26" s="244" t="str">
        <f t="shared" ca="1" si="148"/>
        <v>nd</v>
      </c>
      <c r="OZ26" s="244" t="str">
        <f t="shared" ca="1" si="149"/>
        <v>nd</v>
      </c>
      <c r="PA26" s="202" t="b">
        <f t="shared" ca="1" si="150"/>
        <v>0</v>
      </c>
      <c r="PB26" s="202">
        <f t="shared" ca="1" si="151"/>
        <v>1</v>
      </c>
      <c r="PC26" s="202">
        <f t="shared" ca="1" si="152"/>
        <v>0</v>
      </c>
      <c r="PD26" s="96" t="str">
        <f t="shared" ca="1" si="153"/>
        <v/>
      </c>
      <c r="PE26" s="96" t="str">
        <f t="shared" ca="1" si="154"/>
        <v/>
      </c>
      <c r="PF26" s="200">
        <f t="shared" ca="1" si="155"/>
        <v>0</v>
      </c>
      <c r="PG26" s="202" t="str">
        <f t="shared" ca="1" si="156"/>
        <v/>
      </c>
      <c r="PH26" s="200" t="str">
        <f t="shared" ca="1" si="157"/>
        <v/>
      </c>
      <c r="PI26" s="200" t="str">
        <f t="shared" ca="1" si="158"/>
        <v/>
      </c>
      <c r="PJ26" s="200" t="str">
        <f t="shared" ca="1" si="159"/>
        <v/>
      </c>
      <c r="PK26" s="242" t="str">
        <f t="shared" ca="1" si="160"/>
        <v/>
      </c>
      <c r="PL26" s="242" t="str">
        <f t="shared" ca="1" si="161"/>
        <v/>
      </c>
      <c r="PM26" s="242" t="str">
        <f t="shared" ca="1" si="162"/>
        <v/>
      </c>
      <c r="PN26" s="242" t="str">
        <f t="shared" ca="1" si="163"/>
        <v>Erste Spielsportart</v>
      </c>
      <c r="PO26" s="242" t="str">
        <f ca="1">IF(PN26=$PM$11,Stammdaten!$AY$27,IF(PR26=$A$2,TRIM(Stammdaten!$AX$25),""))</f>
        <v>nicht durchgeführt</v>
      </c>
      <c r="PP26" s="242" t="str">
        <f t="shared" ca="1" si="164"/>
        <v/>
      </c>
      <c r="PQ26" s="202" t="str">
        <f t="shared" ca="1" si="165"/>
        <v>Erste SpielsportartResultat[@Resultat]</v>
      </c>
      <c r="PR26" s="98" t="str">
        <f t="shared" ca="1" si="166"/>
        <v/>
      </c>
      <c r="PS26" s="202" t="str">
        <f t="shared" ca="1" si="167"/>
        <v/>
      </c>
      <c r="PT26" s="202" t="str">
        <f t="shared" ca="1" si="168"/>
        <v>Erste SpielsportartSkalawert[@[Skala-Wert]]</v>
      </c>
      <c r="PU26" s="98" t="str">
        <f t="shared" ca="1" si="169"/>
        <v/>
      </c>
      <c r="PV26" s="202" t="str">
        <f t="shared" ca="1" si="170"/>
        <v/>
      </c>
      <c r="PW26" s="202" t="str">
        <f t="shared" ca="1" si="171"/>
        <v/>
      </c>
      <c r="PX26" s="202" t="str">
        <f t="shared" ca="1" si="172"/>
        <v>StdDisziplinen[MaxTextSt]</v>
      </c>
      <c r="PY26" s="202" t="str">
        <f t="shared" ca="1" si="173"/>
        <v/>
      </c>
      <c r="PZ26" s="202" t="b">
        <f t="shared" ca="1" si="174"/>
        <v>0</v>
      </c>
      <c r="QA26" s="202" t="str">
        <f t="shared" ca="1" si="175"/>
        <v/>
      </c>
      <c r="QB26" s="202" t="str">
        <f t="shared" ca="1" si="32"/>
        <v/>
      </c>
      <c r="QC26" s="202" t="str">
        <f t="shared" ca="1" si="176"/>
        <v/>
      </c>
      <c r="QD26" s="202" t="str">
        <f t="shared" ca="1" si="177"/>
        <v/>
      </c>
      <c r="QE26" s="242" t="str">
        <f t="shared" ca="1" si="178"/>
        <v/>
      </c>
      <c r="QF26" s="242" t="str">
        <f t="shared" ca="1" si="179"/>
        <v/>
      </c>
      <c r="QG26" s="242" t="str">
        <f t="shared" ca="1" si="180"/>
        <v>Zweite Spielsportart</v>
      </c>
      <c r="QH26" s="242" t="str">
        <f ca="1">IF(QG26=$QF$11,Stammdaten!$AY$27,IF(QK26=$A$2,TRIM(Stammdaten!$AX$25),""))</f>
        <v>nicht durchgeführt</v>
      </c>
      <c r="QI26" s="242" t="str">
        <f t="shared" ca="1" si="181"/>
        <v/>
      </c>
      <c r="QJ26" s="202" t="str">
        <f t="shared" ca="1" si="182"/>
        <v>Zweite SpielsportartResultat[@Resultat]</v>
      </c>
      <c r="QK26" s="98" t="str">
        <f t="shared" ca="1" si="183"/>
        <v/>
      </c>
      <c r="QL26" s="202" t="str">
        <f t="shared" ca="1" si="184"/>
        <v/>
      </c>
      <c r="QM26" s="202" t="str">
        <f t="shared" ca="1" si="185"/>
        <v>Zweite SpielsportartSkalawert[@[Skala-Wert]]</v>
      </c>
      <c r="QN26" s="98" t="str">
        <f t="shared" ca="1" si="186"/>
        <v/>
      </c>
      <c r="QO26" s="202" t="str">
        <f t="shared" ca="1" si="187"/>
        <v/>
      </c>
      <c r="QP26" s="202" t="str">
        <f t="shared" ca="1" si="188"/>
        <v/>
      </c>
      <c r="QQ26" s="202" t="str">
        <f t="shared" ca="1" si="189"/>
        <v>StdDisziplinen[MaxTextSt]</v>
      </c>
      <c r="QR26" s="202" t="str">
        <f t="shared" ca="1" si="190"/>
        <v/>
      </c>
      <c r="QS26" s="202" t="b">
        <f t="shared" ca="1" si="191"/>
        <v>0</v>
      </c>
      <c r="QT26" s="242" t="str">
        <f t="shared" ca="1" si="33"/>
        <v>Dritte Spielsportart</v>
      </c>
      <c r="QU26" s="242" t="str">
        <f ca="1">IF(QT26=$QT$11,MID(Stammdaten!$AX$27,2,LEN(Stammdaten!$AX$27)),IF(QX26=$A$2,TRIM(Stammdaten!$AX$25),""))</f>
        <v>nicht durchgeführt</v>
      </c>
      <c r="QV26" s="242" t="str">
        <f t="shared" ca="1" si="34"/>
        <v/>
      </c>
      <c r="QW26" s="202" t="str">
        <f t="shared" ca="1" si="192"/>
        <v>Dritte SpielsportartResultat[@Resultat]</v>
      </c>
      <c r="QX26" s="98" t="str">
        <f t="shared" ca="1" si="193"/>
        <v/>
      </c>
      <c r="QY26" s="202" t="str">
        <f t="shared" ca="1" si="35"/>
        <v/>
      </c>
      <c r="QZ26" s="202" t="str">
        <f t="shared" ca="1" si="194"/>
        <v>Dritte SpielsportartSkalawert[@[Skala-Wert]]</v>
      </c>
      <c r="RA26" s="98" t="str">
        <f t="shared" ca="1" si="195"/>
        <v/>
      </c>
      <c r="RB26" s="202" t="str">
        <f t="shared" ca="1" si="36"/>
        <v/>
      </c>
      <c r="RC26" s="202" t="str">
        <f t="shared" ca="1" si="196"/>
        <v/>
      </c>
      <c r="RD26" s="202" t="str">
        <f t="shared" ca="1" si="197"/>
        <v>StdDisziplinen[MaxTextSt]</v>
      </c>
      <c r="RE26" s="202" t="str">
        <f t="shared" ca="1" si="37"/>
        <v/>
      </c>
      <c r="RF26" s="244">
        <f t="shared" ca="1" si="38"/>
        <v>99</v>
      </c>
      <c r="RG26" s="244">
        <f t="shared" ca="1" si="39"/>
        <v>99</v>
      </c>
      <c r="RH26" s="244">
        <f t="shared" ca="1" si="40"/>
        <v>99</v>
      </c>
      <c r="RI26" s="244">
        <f t="shared" ca="1" si="41"/>
        <v>99</v>
      </c>
      <c r="RJ26" s="244">
        <f t="shared" ca="1" si="42"/>
        <v>99</v>
      </c>
      <c r="RK26" s="244">
        <f t="shared" ca="1" si="198"/>
        <v>99</v>
      </c>
      <c r="RL26" s="244">
        <f t="shared" ca="1" si="199"/>
        <v>99</v>
      </c>
      <c r="RM26" s="244">
        <f t="shared" ca="1" si="200"/>
        <v>99</v>
      </c>
      <c r="RN26" s="244">
        <f t="shared" ca="1" si="201"/>
        <v>99</v>
      </c>
      <c r="RO26" s="244">
        <f t="shared" ca="1" si="202"/>
        <v>99</v>
      </c>
      <c r="RP26" s="202" t="str">
        <f t="shared" ca="1" si="43"/>
        <v>Zu wenige Noten</v>
      </c>
      <c r="RQ26" s="202" t="str">
        <f t="shared" ca="1" si="203"/>
        <v>Zu wenige Noten</v>
      </c>
      <c r="RR26" s="202" t="str">
        <f t="shared" ca="1" si="203"/>
        <v>Zu wenige Noten</v>
      </c>
      <c r="RS26" s="202" t="str">
        <f t="shared" ca="1" si="204"/>
        <v>Zu wenige Noten</v>
      </c>
      <c r="RT26" s="202" t="str">
        <f t="shared" ca="1" si="204"/>
        <v>Zu wenige Noten</v>
      </c>
      <c r="RU26" s="202" t="str">
        <f t="shared" ca="1" si="205"/>
        <v>Zu wenige Noten</v>
      </c>
      <c r="RV26" s="202" t="str">
        <f t="shared" ca="1" si="206"/>
        <v>Zu wenige Noten</v>
      </c>
      <c r="RW26" s="31"/>
      <c r="RX26" s="56" t="str">
        <f t="shared" ca="1" si="44"/>
        <v>Zu wenige Noten</v>
      </c>
      <c r="RY26" s="31"/>
      <c r="RZ26" s="31" t="str">
        <f t="shared" ca="1" si="45"/>
        <v>Zu wenige Noten</v>
      </c>
      <c r="SA26" s="31" t="str">
        <f t="shared" ca="1" si="46"/>
        <v>Zu wenige Noten</v>
      </c>
      <c r="SB26" s="45" t="str">
        <f t="shared" ca="1" si="47"/>
        <v>Zu wenige Noten</v>
      </c>
      <c r="SC26" s="31" t="str">
        <f t="shared" ca="1" si="207"/>
        <v>Zu wenige Noten</v>
      </c>
      <c r="SD26" s="31" t="str">
        <f t="shared" ca="1" si="208"/>
        <v>Zu wenige Noten</v>
      </c>
      <c r="SE26" s="31" t="str">
        <f t="shared" ca="1" si="48"/>
        <v>Zu wenige Noten</v>
      </c>
      <c r="SF26" s="31" t="str">
        <f t="shared" ca="1" si="209"/>
        <v>Zu wenige Noten</v>
      </c>
      <c r="SG26" s="31" t="str">
        <f t="shared" ca="1" si="48"/>
        <v>Zu wenige Noten</v>
      </c>
      <c r="SH26" s="36">
        <f t="shared" ca="1" si="210"/>
        <v>0</v>
      </c>
      <c r="SI26" s="36">
        <f t="shared" ca="1" si="211"/>
        <v>0</v>
      </c>
      <c r="SJ26" s="36">
        <f t="shared" ca="1" si="212"/>
        <v>0</v>
      </c>
      <c r="SK26" s="31">
        <f t="shared" ca="1" si="213"/>
        <v>99</v>
      </c>
      <c r="SL26" s="31">
        <f t="shared" ca="1" si="214"/>
        <v>99</v>
      </c>
      <c r="SM26" s="36" t="str">
        <f t="shared" ca="1" si="215"/>
        <v>99.0</v>
      </c>
      <c r="SN26" s="31">
        <f t="shared" ca="1" si="216"/>
        <v>99</v>
      </c>
      <c r="SO26" s="36" t="str">
        <f ca="1">IF(NOT(SJ26),INDEX(StdFehler[StdFehler],4),IF(SI26=$SJ$13,$A$3,CONCATENATE(TEXT(SK26,"#.0"),", ",TEXT(SL26,"#.0"),", ",SM26,", ",TEXT(SN26,"#.0"))))</f>
        <v>Zu wenige Noten</v>
      </c>
      <c r="SP26" s="36" t="str">
        <f t="shared" ca="1" si="49"/>
        <v>Zu wenige Noten</v>
      </c>
      <c r="SQ26" s="36" t="str">
        <f t="shared" ca="1" si="49"/>
        <v>Zu wenige Noten</v>
      </c>
      <c r="SR26" s="36" t="str">
        <f t="shared" ca="1" si="49"/>
        <v>Zu wenige Noten</v>
      </c>
      <c r="SS26" s="36" t="str">
        <f t="shared" ca="1" si="49"/>
        <v>Zu wenige Noten</v>
      </c>
      <c r="ST26" s="36" t="str">
        <f t="shared" ca="1" si="217"/>
        <v>Zu wenige Noten</v>
      </c>
      <c r="SU26" s="36"/>
      <c r="SV26" s="214" t="str">
        <f t="shared" si="218"/>
        <v>D</v>
      </c>
      <c r="SW26" s="36"/>
      <c r="SX26" s="214" t="str">
        <f t="shared" si="219"/>
        <v>D</v>
      </c>
      <c r="SY26" s="36"/>
      <c r="SZ26" s="214" t="str">
        <f t="shared" si="220"/>
        <v>D</v>
      </c>
      <c r="TA26" s="36"/>
      <c r="TB26" s="214" t="str">
        <f t="shared" si="221"/>
        <v>D</v>
      </c>
      <c r="TC26" s="31"/>
      <c r="TD26" s="36" t="str">
        <f t="shared" ca="1" si="222"/>
        <v>Zu wenige Noten</v>
      </c>
      <c r="TE26" s="31"/>
      <c r="TF26" s="193" t="str">
        <f ca="1">IF(NOT(SJ26),INDEX(StdFehler[StdFehler],4),IF(SI26=$TF$4,$A$3,ROUND(AVERAGE(RZ26:SC26)/$TF$5,0)*$TF$5))</f>
        <v>Zu wenige Noten</v>
      </c>
      <c r="TH26" s="595" t="str">
        <f>IF(OR($TH$18=Stammdaten!$AX$20,$TH$18=""),Stammdaten!$AX$20,$TH$18)</f>
        <v>Disziplin</v>
      </c>
      <c r="TI26" s="33"/>
      <c r="TJ26" s="33" t="str">
        <f>IF(OR(Geschlecht[[#This Row],[Geschlecht (Skala)]]="",TH26="",TH26=Stammdaten!$AX$20),"",REPLACE(INDEX(StdDisziplinen[TabÜberschriftResultat],TH$3),FIND("XX",INDEX(StdDisziplinen[TabÜberschriftResultat],TH$3),1),2,Geschlecht[[#This Row],[Geschlecht (Skala)]]))</f>
        <v/>
      </c>
      <c r="TK26" s="596"/>
      <c r="TM26" s="37"/>
      <c r="TN26" s="40"/>
      <c r="TO26" s="587">
        <f>IF(TO$16,IF(TP$16=0.5,MROUND(SchwimmenResultat[[#This Row],[Resultat]],TP$16),ROUND(SchwimmenResultat[[#This Row],[Resultat]],TP$16)),ROUNDDOWN(SchwimmenResultat[[#This Row],[Resultat]],TP$16))</f>
        <v>0</v>
      </c>
      <c r="TP26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6" s="153" t="str">
        <f ca="1">IF(TP26="","",IF(OR(SchwimmenResultat[[#This Row],[Resultat]]=Stammdaten!$AX$22,SchwimmenResultat[[#This Row],[Resultat]]=Stammdaten!$AX$19),Stammdaten!$AX$19,IF(ISNA(INDEX(INDIRECT(TP26),MATCH(SchwimmenGerundet[[#This Row],[Rundung]],INDIRECT(TP26),TP$18))),IF(TP$18=-1,LARGE(INDIRECT(TP26),1),SMALL(INDIRECT(TP26),1)),INDEX(INDIRECT(TP26),MATCH(SchwimmenGerundet[[#This Row],[Rundung]],INDIRECT(TP26),TP$18)))))</f>
        <v/>
      </c>
      <c r="TR26" s="33" t="str">
        <f>IF(OR(TP26="",SchwimmenResultat[[#This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6" s="33"/>
      <c r="TT26" s="36" t="str">
        <f ca="1">IF(OR(TR26="",SchwimmenSkalawert[[#This Row],[Skala-Wert]]=Stammdaten!$AX$19),"",INDEX(INDIRECT(TR26),MATCH(SchwimmenSkalawert[[#This Row],[Skala-Wert]],INDIRECT(TP26),0)))</f>
        <v/>
      </c>
      <c r="TU26" s="36"/>
      <c r="TV26" s="190" t="str">
        <f>IF(ZwölfMinLaufHalleResultat[[#This Row],[Resultat]]=0,"",ZwölfMinLaufHalleResultat[[#This Row],[Resultat]])</f>
        <v/>
      </c>
      <c r="TW26" s="190"/>
      <c r="TX26" s="31" t="str">
        <f ca="1">ZwölfMinLaufHalleSkalawert[[#This Row],[Skala-Wert]]</f>
        <v/>
      </c>
      <c r="TZ26" s="31" t="str">
        <f ca="1">ZwölfMinLaufHalleNote[[#This Row],[Note]]</f>
        <v/>
      </c>
      <c r="UA26" s="31"/>
      <c r="UB26" s="190" t="str">
        <f>IF(ZwölfMinLaufimFreienResultat[[#This Row],[Resultat]]=0,"",ZwölfMinLaufimFreienResultat[[#This Row],[Resultat]])</f>
        <v/>
      </c>
      <c r="UC26" s="190"/>
      <c r="UD26" s="192" t="str">
        <f ca="1">ZwölfMinLaufimFreienSkalawert[[#This Row],[Skala-Wert]]</f>
        <v/>
      </c>
      <c r="UF26" s="31" t="str">
        <f ca="1">ZwölfMinLaufimFreienNote[[#This Row],[Note]]</f>
        <v/>
      </c>
      <c r="UG26" s="31"/>
      <c r="UH26" s="597"/>
      <c r="UI26" s="190"/>
      <c r="UJ26" s="587">
        <f>IF(UJ$16,IF(UK$16=0.5,MROUND(BeweglichkeitResultat[[#This Row],[Resultat]],UK$16),ROUND(BeweglichkeitResultat[[#This Row],[Resultat]],UK$16)),ROUNDDOWN(BeweglichkeitResultat[[#This Row],[Resultat]],UK$16))</f>
        <v>0</v>
      </c>
      <c r="UK26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6" s="192" t="str">
        <f ca="1">IF(UK26="","",IF(OR(BeweglichkeitResultat[[#This Row],[Resultat]]=Stammdaten!$AX$22,BeweglichkeitResultat[[#This Row],[Resultat]]=Stammdaten!$AX$19),Stammdaten!$AX$19,IF(ISNA(INDEX(INDIRECT(UK26),MATCH(BeweglichkeitGerundet[[#This Row],[Rundung]],INDIRECT(UK26),UK$18))),IF(UK$18=-1,LARGE(INDIRECT(UK26),1),SMALL(INDIRECT(UK26),1)),INDEX(INDIRECT(UK26),MATCH(BeweglichkeitGerundet[[#This Row],[Rundung]],INDIRECT(UK26),UK$18)))))</f>
        <v/>
      </c>
      <c r="UN26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6" s="36" t="str">
        <f ca="1">IF(OR(UK26="",BeweglichkeitSkalawert[[#This Row],[Skala-Wert]]=Stammdaten!$AX$19),"",INDEX(INDIRECT(UN26),MATCH(BeweglichkeitSkalawert[[#This Row],[Skala-Wert]],INDIRECT(UK26),0)))</f>
        <v/>
      </c>
      <c r="UP26" s="31"/>
      <c r="UQ26" s="597"/>
      <c r="UR26" s="190"/>
      <c r="US26" s="587">
        <f>IF(US$16,IF(UT$16=0.5,MROUND(RumpfkraftResultat[[#This Row],[Resultat]],UT$16),ROUND(RumpfkraftResultat[[#This Row],[Resultat]],UT$16)),ROUNDDOWN(RumpfkraftResultat[[#This Row],[Resultat]],UT$16))</f>
        <v>0</v>
      </c>
      <c r="UT26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6" s="192" t="str">
        <f ca="1">IF(UT26="","",IF(OR(RumpfkraftResultat[[#This Row],[Resultat]]=Stammdaten!$AX$22,RumpfkraftResultat[[#This Row],[Resultat]]=Stammdaten!$AX$19),Stammdaten!$AX$19,IF(ISNA(INDEX(INDIRECT(UT26),MATCH(RumpfkraftGerundet[[#This Row],[Rundung]],INDIRECT(UT26),UT$18))),IF(UT$18=-1,LARGE(INDIRECT(UT26),1),SMALL(INDIRECT(UT26),1)),INDEX(INDIRECT(UT26),MATCH(RumpfkraftGerundet[[#This Row],[Rundung]],INDIRECT(UT26),UT$18)))))</f>
        <v/>
      </c>
      <c r="UW26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6" s="36" t="str">
        <f ca="1">IF(OR(UT26="",RumpfkraftSkalawert[[#This Row],[Skala-Wert]]=Stammdaten!$AX$19),"",INDEX(INDIRECT(UW26),MATCH(RumpfkraftSkalawert[[#This Row],[Skala-Wert]],INDIRECT(UT26),0)))</f>
        <v/>
      </c>
      <c r="UY26" s="31"/>
      <c r="UZ26" s="190" t="str">
        <f>IF(SechzigmLaufResultat[[#This Row],[Resultat]]=0,"",SechzigmLaufResultat[[#This Row],[Resultat]])</f>
        <v/>
      </c>
      <c r="VA26" s="190"/>
      <c r="VB26" s="45" t="str">
        <f ca="1">SechzigmLaufSkalawert[[#This Row],[Skala-Wert]]</f>
        <v/>
      </c>
      <c r="VD26" s="31" t="str">
        <f ca="1">SechzigmLaufNote[[#This Row],[Note]]</f>
        <v/>
      </c>
      <c r="VE26" s="31"/>
      <c r="VF26" s="190" t="str">
        <f>IF(AchtzigmLaufResultat[[#This Row],[Resultat]]=0,"",AchtzigmLaufResultat[[#This Row],[Resultat]])</f>
        <v/>
      </c>
      <c r="VG26" s="190"/>
      <c r="VH26" s="45" t="str">
        <f ca="1">AchtzigmLaufSkalawert[[#This Row],[Skala-Wert]]</f>
        <v/>
      </c>
      <c r="VJ26" s="31" t="str">
        <f ca="1">AchtzigmLaufNote[[#This Row],[Note]]</f>
        <v/>
      </c>
      <c r="VK26" s="31"/>
      <c r="VL26" s="37"/>
      <c r="VM26" s="190"/>
      <c r="VN26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6" s="191" t="str">
        <f>IF(OR(Geschlecht[[#This Row],[Geschlecht (Skala)]]="",VL$16=""),"",MID(Geschlecht[[#This Row],[Geschlecht (Skala)]],1,1)&amp;MID(VL$16,1,1))</f>
        <v/>
      </c>
      <c r="VP26" s="190" t="str">
        <f>IF(OR(VO26="",KonditionsparcoursResultat[[#This Row],[Resultat]]=""),"",REPLACE(INDEX(StdDisziplinen[TabÜberschriftResultat],VL$3),FIND("X",INDEX(StdDisziplinen[TabÜberschriftResultat],VL$3),1),2,VO26))</f>
        <v/>
      </c>
      <c r="VQ26" s="192" t="str">
        <f ca="1">IF(VP26="","",IF(OR(KonditionsparcoursResultat[[#This Row],[Resultat]]=Stammdaten!$AX$22,KonditionsparcoursResultat[[#This Row],[Resultat]]=Stammdaten!$AX$19),Stammdaten!$AX$19,IF(ISNA(INDEX(INDIRECT(VP26),MATCH(KonditionsparcoursGerundet[[#This Row],[Rundung]],INDIRECT(VP26),VP$18))),IF(VP$18=-1,LARGE(INDIRECT(VP26),1),SMALL(INDIRECT(VP26),1)),INDEX(INDIRECT(VP26),MATCH(KonditionsparcoursGerundet[[#This Row],[Rundung]],INDIRECT(VP26),VP$18)))))</f>
        <v/>
      </c>
      <c r="VS26" s="18" t="str">
        <f ca="1">IF(KonditionsparcoursSkalawert[[#This Row],[Skala-Wert]]="","",REPLACE(INDEX(StdDisziplinen[TabÜberschriftNote],VL$3),FIND("X",INDEX(StdDisziplinen[TabÜberschriftNote],VL$3),1),2,VO26))</f>
        <v/>
      </c>
      <c r="VT26" s="31" t="str">
        <f ca="1">IF(OR(VS26="",KonditionsparcoursSkalawert[[#This Row],[Skala-Wert]]=Stammdaten!$AX$19),"",INDEX(INDIRECT(VS26),MATCH(KonditionsparcoursSkalawert[[#This Row],[Skala-Wert]],INDIRECT(VP26),0)))</f>
        <v/>
      </c>
      <c r="VU26" s="22"/>
    </row>
    <row r="27" spans="1:593" x14ac:dyDescent="0.3">
      <c r="A27" s="30">
        <v>9</v>
      </c>
      <c r="B27" s="589"/>
      <c r="C27" s="589"/>
      <c r="E27" s="591"/>
      <c r="G27" s="37"/>
      <c r="H27" s="190"/>
      <c r="I27" s="154">
        <f>IF(I$16,IF(J$16=0.5,MROUND(SechzigmLaufResultat[[#This Row],[Resultat]],J$16),ROUND(SechzigmLaufResultat[[#This Row],[Resultat]],J$16)),ROUNDDOWN(SechzigmLaufResultat[[#This Row],[Resultat]],J$16))</f>
        <v>0</v>
      </c>
      <c r="J27" s="191" t="str">
        <f>IF(OR(Geschlecht[[#This Row],[Geschlecht (Skala)]]="",G$16=""),"",MID(Geschlecht[[#This Row],[Geschlecht (Skala)]],1,1)&amp;MID(G$16,1,1))</f>
        <v/>
      </c>
      <c r="K27" s="190" t="str">
        <f>IF(OR(J27="",SechzigmLaufResultat[[#This Row],[Resultat]]=""),"",REPLACE(INDEX(StdDisziplinen[TabÜberschriftResultat],G$3),FIND("X",INDEX(StdDisziplinen[TabÜberschriftResultat],G$3),1),2,J27))</f>
        <v/>
      </c>
      <c r="L27" s="45" t="str">
        <f ca="1">IF(K27="","",IF(OR(SechzigmLaufResultat[[#This Row],[Resultat]]=Stammdaten!$AX$22,SechzigmLaufResultat[[#This Row],[Resultat]]=Stammdaten!$AX$19),Stammdaten!$AX$19,IF(ISNA(INDEX(INDIRECT(K27),MATCH(SechzigmLaufGerundet[[#This Row],[Rundung]],INDIRECT(K27),K$18))),IF(K$18=-1,LARGE(INDIRECT(K27),1),SMALL(INDIRECT(K27),1)),INDEX(INDIRECT(K27),MATCH(SechzigmLaufGerundet[[#This Row],[Rundung]],INDIRECT(K27),K$18)))))</f>
        <v/>
      </c>
      <c r="N27" s="18" t="str">
        <f ca="1">IF(SechzigmLaufSkalawert[[#This Row],[Skala-Wert]]="","",REPLACE(INDEX(StdDisziplinen[TabÜberschriftNote],G$3),FIND("X",INDEX(StdDisziplinen[TabÜberschriftNote],G$3),1),2,J27))</f>
        <v/>
      </c>
      <c r="O27" s="31" t="str">
        <f ca="1">IF(OR(N27="",SechzigmLaufSkalawert[[#This Row],[Skala-Wert]]=Stammdaten!$AX$19),"",INDEX(INDIRECT(N27),MATCH(SechzigmLaufSkalawert[[#This Row],[Skala-Wert]],INDIRECT(K27),0)))</f>
        <v/>
      </c>
      <c r="P27" s="31"/>
      <c r="Q27" s="37"/>
      <c r="R27" s="190"/>
      <c r="S27" s="154">
        <f>IF(S$16,IF(T$16=0.5,MROUND(AchtzigmLaufResultat[[#This Row],[Resultat]],T$16),ROUND(AchtzigmLaufResultat[[#This Row],[Resultat]],T$16)),ROUNDDOWN(AchtzigmLaufResultat[[#This Row],[Resultat]],T$16))</f>
        <v>0</v>
      </c>
      <c r="T27" s="191" t="str">
        <f>IF(OR(Geschlecht[[#This Row],[Geschlecht (Skala)]]="",Q$16=""),"",MID(Geschlecht[[#This Row],[Geschlecht (Skala)]],1,1)&amp;MID(Q$16,1,1))</f>
        <v/>
      </c>
      <c r="U27" s="190" t="str">
        <f>IF(OR(T27="",AchtzigmLaufResultat[[#This Row],[Resultat]]=""),"",REPLACE(INDEX(StdDisziplinen[TabÜberschriftResultat],Q$3),FIND("X",INDEX(StdDisziplinen[TabÜberschriftResultat],Q$3),1),2,T27))</f>
        <v/>
      </c>
      <c r="V27" s="45" t="str">
        <f ca="1">IF(U27="","",IF(OR(AchtzigmLaufResultat[[#This Row],[Resultat]]=Stammdaten!$AX$22,AchtzigmLaufResultat[[#This Row],[Resultat]]=Stammdaten!$AX$19),Stammdaten!$AX$19,IF(ISNA(INDEX(INDIRECT(U27),MATCH(AchtzigmLaufGerundet[[#This Row],[Rundung]],INDIRECT(U27),U$18))),IF(U$18=-1,LARGE(INDIRECT(U27),1),SMALL(INDIRECT(U27),1)),INDEX(INDIRECT(U27),MATCH(AchtzigmLaufGerundet[[#This Row],[Rundung]],INDIRECT(U27),U$18)))))</f>
        <v/>
      </c>
      <c r="X27" s="18" t="str">
        <f ca="1">IF(AchtzigmLaufSkalawert[[#This Row],[Skala-Wert]]="","",REPLACE(INDEX(StdDisziplinen[TabÜberschriftNote],Q$3),FIND("X",INDEX(StdDisziplinen[TabÜberschriftNote],Q$3),1),2,T27))</f>
        <v/>
      </c>
      <c r="Y27" s="31" t="str">
        <f ca="1">IF(OR(X27="",AchtzigmLaufSkalawert[[#This Row],[Skala-Wert]]=Stammdaten!$AX$19),"",INDEX(INDIRECT(X27),MATCH(AchtzigmLaufSkalawert[[#This Row],[Skala-Wert]],INDIRECT(U27),0)))</f>
        <v/>
      </c>
      <c r="Z27" s="31"/>
      <c r="AA27" s="37"/>
      <c r="AB27" s="190"/>
      <c r="AC27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7" s="191" t="str">
        <f>IF(OR(Geschlecht[[#This Row],[Geschlecht (Skala)]]="",AA$16=""),"",MID(Geschlecht[[#This Row],[Geschlecht (Skala)]],1,1)&amp;MID(AA$16,1,1))</f>
        <v/>
      </c>
      <c r="AE27" s="190" t="str">
        <f>IF(OR(AD27="",ZwölfMinLaufHalleResultat[[#This Row],[Resultat]]=""),"",REPLACE(INDEX(StdDisziplinen[TabÜberschriftResultat],AA$3),FIND("X",INDEX(StdDisziplinen[TabÜberschriftResultat],AA$3),1),2,AD27))</f>
        <v/>
      </c>
      <c r="AF27" s="31" t="str">
        <f ca="1">IF(AE27="","",IF(OR(ZwölfMinLaufHalleResultat[[#This Row],[Resultat]]=Stammdaten!$AX$22,ZwölfMinLaufHalleResultat[[#This Row],[Resultat]]=Stammdaten!$AX$19),Stammdaten!$AX$19,IF(ISNA(INDEX(INDIRECT(AE27),MATCH(ZwölfMinLaufHalleGerundet[[#This Row],[Rundung]],INDIRECT(AE27),AE$18))),IF(AE$18=-1,LARGE(INDIRECT(AE27),1),SMALL(INDIRECT(AE27),1)),INDEX(INDIRECT(AE27),MATCH(ZwölfMinLaufHalleGerundet[[#This Row],[Rundung]],INDIRECT(AE27),AE$18)))))</f>
        <v/>
      </c>
      <c r="AH27" s="18" t="str">
        <f ca="1">IF(ZwölfMinLaufHalleSkalawert[[#This Row],[Skala-Wert]]="","",REPLACE(INDEX(StdDisziplinen[TabÜberschriftNote],AA$3),FIND("X",INDEX(StdDisziplinen[TabÜberschriftNote],AA$3),1),2,AD27))</f>
        <v/>
      </c>
      <c r="AI27" s="31" t="str">
        <f ca="1">IF(OR(AH27="",ZwölfMinLaufHalleSkalawert[[#This Row],[Skala-Wert]]=Stammdaten!$AX$19),"",INDEX(INDIRECT(AH27),MATCH(ZwölfMinLaufHalleSkalawert[[#This Row],[Skala-Wert]],INDIRECT(AE27),0)))</f>
        <v/>
      </c>
      <c r="AJ27" s="31"/>
      <c r="AK27" s="597"/>
      <c r="AL27" s="190"/>
      <c r="AM27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7" s="191" t="str">
        <f>IF(OR(Geschlecht[[#This Row],[Geschlecht (Skala)]]="",AK$16=""),"",MID(Geschlecht[[#This Row],[Geschlecht (Skala)]],1,1)&amp;MID(AK$16,1,1))</f>
        <v/>
      </c>
      <c r="AO27" s="190" t="str">
        <f>IF(OR(AN27="",ZwölfMinLaufimFreienResultat[[#This Row],[Resultat]]=""),"",REPLACE(INDEX(StdDisziplinen[TabÜberschriftResultat],AK$3),FIND("X",INDEX(StdDisziplinen[TabÜberschriftResultat],AK$3),1),2,AN27))</f>
        <v/>
      </c>
      <c r="AP27" s="192" t="str">
        <f ca="1">IF(AO27="","",IF(OR(ZwölfMinLaufimFreienResultat[[#This Row],[Resultat]]=Stammdaten!$AX$22,ZwölfMinLaufimFreienResultat[[#This Row],[Resultat]]=Stammdaten!$AX$19),Stammdaten!$AX$19,IF(ISNA(INDEX(INDIRECT(AO27),MATCH(ZwölfMinLaufimFreienGerundet[[#This Row],[Rundung]],INDIRECT(AO27),AO$18))),IF(AO$18=-1,LARGE(INDIRECT(AO27),1),SMALL(INDIRECT(AO27),1)),INDEX(INDIRECT(AO27),MATCH(ZwölfMinLaufimFreienGerundet[[#This Row],[Rundung]],INDIRECT(AO27),AO$18)))))</f>
        <v/>
      </c>
      <c r="AR27" s="18" t="str">
        <f ca="1">IF(ZwölfMinLaufimFreienSkalawert[[#This Row],[Skala-Wert]]="","",REPLACE(INDEX(StdDisziplinen[TabÜberschriftNote],AK$3),FIND("X",INDEX(StdDisziplinen[TabÜberschriftNote],AK$3),1),2,AN27))</f>
        <v/>
      </c>
      <c r="AS27" s="31" t="str">
        <f ca="1">IF(OR(AR27="",ZwölfMinLaufimFreienSkalawert[[#This Row],[Skala-Wert]]=Stammdaten!$AX$19),"",INDEX(INDIRECT(AR27),MATCH(ZwölfMinLaufimFreienSkalawert[[#This Row],[Skala-Wert]],INDIRECT(AO27),0)))</f>
        <v/>
      </c>
      <c r="AT27" s="31"/>
      <c r="AU27" s="597"/>
      <c r="AV27" s="190"/>
      <c r="AW27" s="587">
        <f>IF(AW$16,IF(AX$16=0.5,MROUND(HochsprungResultat[[#This Row],[Resultat]],AX$16),ROUND(HochsprungResultat[[#This Row],[Resultat]],AX$16)),ROUNDDOWN(HochsprungResultat[[#This Row],[Resultat]],AX$16))</f>
        <v>0</v>
      </c>
      <c r="AX27" s="191" t="str">
        <f>IF(OR(Geschlecht[[#This Row],[Geschlecht (Skala)]]="",AU$16=""),"",MID(Geschlecht[[#This Row],[Geschlecht (Skala)]],1,1)&amp;MID(AU$16,1,1))</f>
        <v/>
      </c>
      <c r="AY27" s="190" t="str">
        <f>IF(OR(AX27="",HochsprungResultat[[#This Row],[Resultat]]=""),"",REPLACE(INDEX(StdDisziplinen[TabÜberschriftResultat],AU$3),FIND("X",INDEX(StdDisziplinen[TabÜberschriftResultat],AU$3),1),2,AX27))</f>
        <v/>
      </c>
      <c r="AZ27" s="192" t="str">
        <f ca="1">IF(AY27="","",IF(OR(HochsprungResultat[[#This Row],[Resultat]]=Stammdaten!$AX$22,HochsprungResultat[[#This Row],[Resultat]]=Stammdaten!$AX$19),Stammdaten!$AX$19,IF(ISNA(INDEX(INDIRECT(AY27),MATCH(HochsprungGerundet[[#This Row],[Rundung]],INDIRECT(AY27),AY$18))),IF(AY$18=-1,LARGE(INDIRECT(AY27),1),SMALL(INDIRECT(AY27),1)),INDEX(INDIRECT(AY27),MATCH(HochsprungGerundet[[#This Row],[Rundung]],INDIRECT(AY27),AY$18)))))</f>
        <v/>
      </c>
      <c r="BB27" s="18" t="str">
        <f ca="1">IF(HochsprungSkalawert[[#This Row],[Skala-Wert]]="","",REPLACE(INDEX(StdDisziplinen[TabÜberschriftNote],AU$3),FIND("X",INDEX(StdDisziplinen[TabÜberschriftNote],AU$3),1),2,AX27))</f>
        <v/>
      </c>
      <c r="BC27" s="31" t="str">
        <f ca="1">IF(OR(BB27="",HochsprungSkalawert[[#This Row],[Skala-Wert]]=Stammdaten!$AX$19),"",INDEX(INDIRECT(BB27),MATCH(HochsprungSkalawert[[#This Row],[Skala-Wert]],INDIRECT(AY27),0)))</f>
        <v/>
      </c>
      <c r="BD27" s="31"/>
      <c r="BE27" s="597"/>
      <c r="BF27" s="190"/>
      <c r="BG27" s="587">
        <f>IF(BG$16,IF(BH$16=0.5,MROUND(WeitsprungResultat[[#This Row],[Resultat]],BH$16),ROUND(WeitsprungResultat[[#This Row],[Resultat]],BH$16)),ROUNDDOWN(WeitsprungResultat[[#This Row],[Resultat]],BH$16))</f>
        <v>0</v>
      </c>
      <c r="BH27" s="191" t="str">
        <f>IF(OR(Geschlecht[[#This Row],[Geschlecht (Skala)]]="",BE$16=""),"",MID(Geschlecht[[#This Row],[Geschlecht (Skala)]],1,1)&amp;MID(BE$16,1,1))</f>
        <v/>
      </c>
      <c r="BI27" s="190" t="str">
        <f>IF(OR(BH27="",WeitsprungResultat[[#This Row],[Resultat]]=""),"",REPLACE(INDEX(StdDisziplinen[TabÜberschriftResultat],BE$3),FIND("X",INDEX(StdDisziplinen[TabÜberschriftResultat],BE$3),1),2,BH27))</f>
        <v/>
      </c>
      <c r="BJ27" s="192" t="str">
        <f ca="1">IF(BI27="","",IF(OR(WeitsprungResultat[[#This Row],[Resultat]]=Stammdaten!$AX$22,WeitsprungResultat[[#This Row],[Resultat]]=Stammdaten!$AX$19),Stammdaten!$AX$19,IF(ISNA(INDEX(INDIRECT(BI27),MATCH(WeitsprungGerundet[[#This Row],[Rundung]],INDIRECT(BI27),BI$18))),IF(BI$18=-1,LARGE(INDIRECT(BI27),1),SMALL(INDIRECT(BI27),1)),INDEX(INDIRECT(BI27),MATCH(WeitsprungGerundet[[#This Row],[Rundung]],INDIRECT(BI27),BI$18)))))</f>
        <v/>
      </c>
      <c r="BL27" s="18" t="str">
        <f ca="1">IF(WeitsprungSkalawert[[#This Row],[Skala-Wert]]="","",REPLACE(INDEX(StdDisziplinen[TabÜberschriftNote],BE$3),FIND("X",INDEX(StdDisziplinen[TabÜberschriftNote],BE$3),1),2,BH27))</f>
        <v/>
      </c>
      <c r="BM27" s="31" t="str">
        <f ca="1">IF(OR(BL27="",WeitsprungSkalawert[[#This Row],[Skala-Wert]]=Stammdaten!$AX$19),"",INDEX(INDIRECT(BL27),MATCH(WeitsprungSkalawert[[#This Row],[Skala-Wert]],INDIRECT(BI27),0)))</f>
        <v/>
      </c>
      <c r="BN27" s="31"/>
      <c r="BO27" s="37"/>
      <c r="BP27" s="190"/>
      <c r="BQ27" s="154">
        <f>IF(BQ$16,IF(BR$16=0.5,MROUND(BallwurfResultat[[#This Row],[Resultat]],BR$16),ROUND(BallwurfResultat[[#This Row],[Resultat]],BR$16)),ROUNDDOWN(BallwurfResultat[[#This Row],[Resultat]],BR$16))</f>
        <v>0</v>
      </c>
      <c r="BR27" s="191" t="str">
        <f>IF(OR(Geschlecht[[#This Row],[Geschlecht (Skala)]]="",BO$16=""),"",MID(Geschlecht[[#This Row],[Geschlecht (Skala)]],1,1)&amp;MID(BO$16,1,1))</f>
        <v/>
      </c>
      <c r="BS27" s="190" t="str">
        <f>IF(OR(BR27="",BallwurfResultat[[#This Row],[Resultat]]=""),"",REPLACE(INDEX(StdDisziplinen[TabÜberschriftResultat],BO$3),FIND("X",INDEX(StdDisziplinen[TabÜberschriftResultat],BO$3),1),2,BR27))</f>
        <v/>
      </c>
      <c r="BT27" s="45" t="str">
        <f ca="1">IF(BS27="","",IF(OR(BallwurfResultat[[#This Row],[Resultat]]=Stammdaten!$AX$22,BallwurfResultat[[#This Row],[Resultat]]=Stammdaten!$AX$19),Stammdaten!$AX$19,IF(ISNA(INDEX(INDIRECT(BS27),MATCH(BallwurfGerundet[[#This Row],[Rundung]],INDIRECT(BS27),BS$18))),IF(BS$18=-1,LARGE(INDIRECT(BS27),1),SMALL(INDIRECT(BS27),1)),INDEX(INDIRECT(BS27),MATCH(BallwurfGerundet[[#This Row],[Rundung]],INDIRECT(BS27),BS$18)))))</f>
        <v/>
      </c>
      <c r="BV27" s="18" t="str">
        <f ca="1">IF(BallwurfSkalawert[[#This Row],[Skala-Wert]]="","",REPLACE(INDEX(StdDisziplinen[TabÜberschriftNote],BO$3),FIND("X",INDEX(StdDisziplinen[TabÜberschriftNote],BO$3),1),2,BR27))</f>
        <v/>
      </c>
      <c r="BW27" s="31" t="str">
        <f ca="1">IF(OR(BV27="",BallwurfSkalawert[[#This Row],[Skala-Wert]]=Stammdaten!$AX$19),"",INDEX(INDIRECT(BV27),MATCH(BallwurfSkalawert[[#This Row],[Skala-Wert]],INDIRECT(BS27),0)))</f>
        <v/>
      </c>
      <c r="BX27" s="31"/>
      <c r="BY27" s="598"/>
      <c r="BZ27" s="190"/>
      <c r="CA27" s="154">
        <f>IF(CA$16,IF(CB$16=0.5,MROUND(KugelstossenResultat[[#This Row],[Resultat]],CB$16),ROUND(KugelstossenResultat[[#This Row],[Resultat]],CB$16)),ROUNDDOWN(KugelstossenResultat[[#This Row],[Resultat]],CB$16))</f>
        <v>0</v>
      </c>
      <c r="CB27" s="191" t="str">
        <f>IF(OR(Geschlecht[[#This Row],[Geschlecht (Skala)]]="",BY$16=""),"",MID(Geschlecht[[#This Row],[Geschlecht (Skala)]],1,1)&amp;MID(BY$16,1,1))</f>
        <v/>
      </c>
      <c r="CC27" s="190" t="str">
        <f>IF(OR(CB27="",KugelstossenResultat[[#This Row],[Resultat]]=""),"",REPLACE(INDEX(StdDisziplinen[TabÜberschriftResultat],BY$3),FIND("X",INDEX(StdDisziplinen[TabÜberschriftResultat],BY$3),1),2,CB27))</f>
        <v/>
      </c>
      <c r="CD27" s="45" t="str">
        <f ca="1">IF(CC27="","",IF(OR(KugelstossenResultat[[#This Row],[Resultat]]=Stammdaten!$AX$22,KugelstossenResultat[[#This Row],[Resultat]]=Stammdaten!$AX$19),Stammdaten!$AX$19,IF(ISNA(INDEX(INDIRECT(CC27),MATCH(KugelstossenGerundet[[#This Row],[Rundung]],INDIRECT(CC27),CC$18))),IF(CC$18=-1,LARGE(INDIRECT(CC27),1),SMALL(INDIRECT(CC27),1)),INDEX(INDIRECT(CC27),MATCH(KugelstossenGerundet[[#This Row],[Rundung]],INDIRECT(CC27),CC$18)))))</f>
        <v/>
      </c>
      <c r="CF27" s="18" t="str">
        <f ca="1">IF(KugelstossenSkalawert[[#This Row],[Skala-Wert]]="","",REPLACE(INDEX(StdDisziplinen[TabÜberschriftNote],BY$3),FIND("X",INDEX(StdDisziplinen[TabÜberschriftNote],BY$3),1),2,CB27))</f>
        <v/>
      </c>
      <c r="CG27" s="31" t="str">
        <f ca="1">IF(OR(CF27="",KugelstossenSkalawert[[#This Row],[Skala-Wert]]=Stammdaten!$AX$19),"",INDEX(INDIRECT(CF27),MATCH(KugelstossenSkalawert[[#This Row],[Skala-Wert]],INDIRECT(CC27),0)))</f>
        <v/>
      </c>
      <c r="CH27" s="31"/>
      <c r="CI27" s="37"/>
      <c r="CJ27" s="190"/>
      <c r="CK27" s="154">
        <f>IF(CK$16,IF(CL$16=0.5,MROUND(SpeerwurfResultat[[#This Row],[Resultat]],CL$16),ROUND(SpeerwurfResultat[[#This Row],[Resultat]],CL$16)),ROUNDDOWN(SpeerwurfResultat[[#This Row],[Resultat]],CL$16))</f>
        <v>0</v>
      </c>
      <c r="CL27" s="191" t="str">
        <f>IF(OR(Geschlecht[[#This Row],[Geschlecht (Skala)]]="",CI$16=""),"",MID(Geschlecht[[#This Row],[Geschlecht (Skala)]],1,1)&amp;MID(CI$16,1,1))</f>
        <v/>
      </c>
      <c r="CM27" s="190" t="str">
        <f>IF(OR(CL27="",SpeerwurfResultat[[#This Row],[Resultat]]=""),"",REPLACE(INDEX(StdDisziplinen[TabÜberschriftResultat],CI$3),FIND("X",INDEX(StdDisziplinen[TabÜberschriftResultat],CI$3),1),2,CL27))</f>
        <v/>
      </c>
      <c r="CN27" s="45" t="str">
        <f ca="1">IF(CM27="","",IF(OR(SpeerwurfResultat[[#This Row],[Resultat]]=Stammdaten!$AX$22,SpeerwurfResultat[[#This Row],[Resultat]]=Stammdaten!$AX$19),Stammdaten!$AX$19,IF(ISNA(INDEX(INDIRECT(CM27),MATCH(SpeerwurfGerundet[[#This Row],[Rundung]],INDIRECT(CM27),CM$18))),IF(CM$18=-1,LARGE(INDIRECT(CM27),1),SMALL(INDIRECT(CM27),1)),INDEX(INDIRECT(CM27),MATCH(SpeerwurfGerundet[[#This Row],[Rundung]],INDIRECT(CM27),CM$18)))))</f>
        <v/>
      </c>
      <c r="CP27" s="18" t="str">
        <f ca="1">IF(SpeerwurfSkalawert[[#This Row],[Skala-Wert]]="","",REPLACE(INDEX(StdDisziplinen[TabÜberschriftNote],CI$3),FIND("X",INDEX(StdDisziplinen[TabÜberschriftNote],CI$3),1),2,CL27))</f>
        <v/>
      </c>
      <c r="CQ27" s="31" t="str">
        <f ca="1">IF(OR(CP27="",SpeerwurfSkalawert[[#This Row],[Skala-Wert]]=Stammdaten!$AX$19),"",INDEX(INDIRECT(CP27),MATCH(SpeerwurfSkalawert[[#This Row],[Skala-Wert]],INDIRECT(CM27),0)))</f>
        <v/>
      </c>
      <c r="CR27" s="31"/>
      <c r="CS27" s="31" t="str">
        <f t="shared" ca="1" si="50"/>
        <v/>
      </c>
      <c r="CT27" s="31" t="str">
        <f t="shared" ca="1" si="50"/>
        <v/>
      </c>
      <c r="CU27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Row],[Skala-Wert]])&gt;0,MAX(CS27:CT27),99))</f>
        <v>Keine Note</v>
      </c>
      <c r="CV27" s="202" t="str">
        <f t="shared" ca="1" si="51"/>
        <v/>
      </c>
      <c r="CW27" s="202" t="str">
        <f ca="1">IF(CV27=$A$2,CS$10&amp;Stammdaten!$AX$25,IF(CU27=INDEX(StdFehler[],3),CS$10&amp;Stammdaten!$AX$27,INDEX(INDIRECT($B$4),MATCH(CV27,INDIRECT($B$5),0))))</f>
        <v>Sprintdisziplinen nicht durchgeführt</v>
      </c>
      <c r="CX27" s="202" t="str">
        <f ca="1">IFERROR(INDEX(INDIRECT(CX$12),MATCH(CV27,StdDisziplinen[ID],0)),"")</f>
        <v/>
      </c>
      <c r="CY27" s="202" t="e">
        <f t="shared" ca="1" si="52"/>
        <v>#N/A</v>
      </c>
      <c r="CZ27" s="202" t="e">
        <f t="shared" ca="1" si="53"/>
        <v>#N/A</v>
      </c>
      <c r="DA27" s="98" t="str">
        <f t="shared" ca="1" si="223"/>
        <v/>
      </c>
      <c r="DB27" s="202" t="e">
        <f t="shared" ca="1" si="54"/>
        <v>#N/A</v>
      </c>
      <c r="DC27" s="202" t="str">
        <f t="shared" ca="1" si="55"/>
        <v/>
      </c>
      <c r="DD27" s="31" t="str">
        <f t="shared" ca="1" si="56"/>
        <v/>
      </c>
      <c r="DE27" s="31" t="str">
        <f t="shared" ca="1" si="56"/>
        <v/>
      </c>
      <c r="DF27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Row],[Skala-Wert]])&gt;0,MAX(DD27:DE27),99))</f>
        <v>Keine Note</v>
      </c>
      <c r="DG27" s="202" t="str">
        <f t="shared" ca="1" si="57"/>
        <v/>
      </c>
      <c r="DH27" s="202" t="str">
        <f ca="1">IF(DG27=$A$2,DD$10&amp;Stammdaten!$AX$25,IF(DF27=INDEX(StdFehler[],3),DD$10&amp;Stammdaten!$AX$27,INDEX(INDIRECT($B$4),MATCH(DG27,INDIRECT($B$5),0))))</f>
        <v>Ausdauerdisziplinen nicht durchgeführt</v>
      </c>
      <c r="DI27" s="202" t="str">
        <f ca="1">IFERROR(INDEX(INDIRECT(DI$12),MATCH(DG27,StdDisziplinen[ID],0)),"")</f>
        <v/>
      </c>
      <c r="DJ27" s="202" t="e">
        <f t="shared" ca="1" si="58"/>
        <v>#N/A</v>
      </c>
      <c r="DK27" s="202" t="e">
        <f t="shared" ca="1" si="59"/>
        <v>#N/A</v>
      </c>
      <c r="DL27" s="96" t="str">
        <f t="shared" ca="1" si="60"/>
        <v/>
      </c>
      <c r="DM27" s="202" t="e">
        <f t="shared" ca="1" si="61"/>
        <v>#N/A</v>
      </c>
      <c r="DN27" s="202" t="str">
        <f t="shared" ca="1" si="62"/>
        <v/>
      </c>
      <c r="DO27" s="31" t="str">
        <f t="shared" ca="1" si="63"/>
        <v/>
      </c>
      <c r="DP27" s="31" t="str">
        <f t="shared" ca="1" si="63"/>
        <v/>
      </c>
      <c r="DQ27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Row],[Skala-Wert]])&gt;0,MAX(DO27:DP27),99))</f>
        <v>Keine Note</v>
      </c>
      <c r="DR27" s="202" t="str">
        <f t="shared" ca="1" si="64"/>
        <v/>
      </c>
      <c r="DS27" s="202" t="str">
        <f ca="1">IF(DR27=$A$2,DO$10&amp;Stammdaten!$AX$25,IF(DQ27=INDEX(StdFehler[],3),DO$10&amp;Stammdaten!$AX$27,INDEX(INDIRECT($B$4),MATCH(DR27,INDIRECT($B$5),0))))</f>
        <v>Sprungdisziplinen nicht durchgeführt</v>
      </c>
      <c r="DT27" s="202" t="str">
        <f ca="1">IFERROR(INDEX(INDIRECT(DT$12),MATCH(DR27,StdDisziplinen[ID],0)),"")</f>
        <v/>
      </c>
      <c r="DU27" s="202" t="e">
        <f t="shared" ca="1" si="65"/>
        <v>#N/A</v>
      </c>
      <c r="DV27" s="202" t="e">
        <f t="shared" ca="1" si="66"/>
        <v>#N/A</v>
      </c>
      <c r="DW27" s="202" t="str">
        <f t="shared" ca="1" si="67"/>
        <v/>
      </c>
      <c r="DX27" s="202" t="e">
        <f t="shared" ca="1" si="68"/>
        <v>#N/A</v>
      </c>
      <c r="DY27" s="202" t="str">
        <f t="shared" ca="1" si="69"/>
        <v/>
      </c>
      <c r="DZ27" s="31" t="str">
        <f ca="1">IF(BallwurfSkalawert[[#This Row],[Skala-Wert]]=$A$3,$A$2,IF(ISNUMBER(BallwurfSkalawert[[#This Row],[Skala-Wert]]),BallwurfNote[[#This Row],[Note]],"!"))</f>
        <v>!</v>
      </c>
      <c r="EA27" s="31" t="str">
        <f ca="1">IF(KugelstossenSkalawert[[#This Row],[Skala-Wert]]=$A$3,$A$2,IF(ISNUMBER(KugelstossenSkalawert[[#This Row],[Skala-Wert]]),KugelstossenNote[[#This Row],[Note]],"!"))</f>
        <v>!</v>
      </c>
      <c r="EB27" s="31" t="str">
        <f ca="1">IF(SpeerwurfSkalawert[[#This Row],[Skala-Wert]]=$A$3,$A$2,IF(ISNUMBER(SpeerwurfSkalawert[[#This Row],[Skala-Wert]]),SpeerwurfNote[[#This Row],[Note]],"!"))</f>
        <v>!</v>
      </c>
      <c r="EC27" s="95" t="str">
        <f ca="1">IF(ED27&gt;0,MAX(DZ27:EB27),IF(EE27&gt;0,99,INDEX(StdFehler[StdFehler],3)))</f>
        <v>Keine Note</v>
      </c>
      <c r="ED27" s="202">
        <f t="shared" ca="1" si="70"/>
        <v>0</v>
      </c>
      <c r="EE27" s="202">
        <f t="shared" ca="1" si="71"/>
        <v>0</v>
      </c>
      <c r="EF27" s="202" t="str">
        <f t="shared" ca="1" si="72"/>
        <v/>
      </c>
      <c r="EG27" s="202" t="str">
        <f ca="1">IF(EF27=$A$2,DZ$10&amp;Stammdaten!$AX$25,IF(EC27=INDEX(StdFehler[],3),DZ$10&amp;Stammdaten!$AX$27,INDEX(INDIRECT($B$4),MATCH(EF27,INDIRECT($B$5),0))))</f>
        <v>Wurfdisziplinen nicht durchgeführt</v>
      </c>
      <c r="EH27" s="202" t="str">
        <f ca="1">IFERROR(INDEX(INDIRECT(EH$12),MATCH(EF27,StdDisziplinen[ID],0)),"")</f>
        <v/>
      </c>
      <c r="EI27" s="202" t="e">
        <f t="shared" ca="1" si="73"/>
        <v>#N/A</v>
      </c>
      <c r="EJ27" s="202" t="e">
        <f t="shared" ca="1" si="74"/>
        <v>#N/A</v>
      </c>
      <c r="EK27" s="98" t="str">
        <f t="shared" ca="1" si="75"/>
        <v/>
      </c>
      <c r="EL27" s="202" t="e">
        <f t="shared" ca="1" si="76"/>
        <v>#N/A</v>
      </c>
      <c r="EM27" s="202" t="str">
        <f t="shared" ca="1" si="77"/>
        <v/>
      </c>
      <c r="EN27" s="200">
        <f t="shared" ca="1" si="1"/>
        <v>0</v>
      </c>
      <c r="EO27" s="202">
        <f t="shared" ca="1" si="78"/>
        <v>0</v>
      </c>
      <c r="EP27" s="96">
        <f t="shared" ca="1" si="2"/>
        <v>0</v>
      </c>
      <c r="EQ27" s="96">
        <f t="shared" ca="1" si="3"/>
        <v>0</v>
      </c>
      <c r="ER27" s="96">
        <f t="shared" ca="1" si="4"/>
        <v>0</v>
      </c>
      <c r="ES27" s="96">
        <f t="shared" ca="1" si="5"/>
        <v>0</v>
      </c>
      <c r="ET27" s="202">
        <f t="shared" ca="1" si="79"/>
        <v>0</v>
      </c>
      <c r="EU27" s="202" t="str">
        <f ca="1">IF($EO27=$FA$4,Stammdaten!$AX$19,IF(COUNTIF($EP27:$ES27,0)&lt;&gt;0,INDEX(StdFehler[StdFehler],4),ROUND(SUM($ET27/$EN27)/$FC$4,0)*$FC$4))</f>
        <v>Zu wenige Noten</v>
      </c>
      <c r="EV27" s="202" t="str">
        <f t="shared" ca="1" si="6"/>
        <v>Zu wenige Noten</v>
      </c>
      <c r="EW27" s="202" t="str">
        <f t="shared" ca="1" si="80"/>
        <v>Zu wenige Noten</v>
      </c>
      <c r="EX27" s="202" t="str">
        <f t="shared" ca="1" si="80"/>
        <v>Zu wenige Noten</v>
      </c>
      <c r="EY27" s="202" t="str">
        <f t="shared" ca="1" si="80"/>
        <v>Zu wenige Noten</v>
      </c>
      <c r="EZ27" s="202" t="str">
        <f t="shared" ca="1" si="81"/>
        <v>Zu wenige Noten</v>
      </c>
      <c r="FA27" s="202" t="str">
        <f t="shared" ca="1" si="82"/>
        <v>Zu wenige Noten</v>
      </c>
      <c r="FB27" s="31"/>
      <c r="FC27" s="56" t="str">
        <f t="shared" ca="1" si="83"/>
        <v>Zu wenige Noten</v>
      </c>
      <c r="FD27" s="31"/>
      <c r="FE27" s="597"/>
      <c r="FF27" s="190"/>
      <c r="FJ27" s="31"/>
      <c r="FK27" s="597"/>
      <c r="FL27" s="190"/>
      <c r="FP27" s="31"/>
      <c r="FQ27" s="597"/>
      <c r="FR27" s="190"/>
      <c r="FV27" s="31"/>
      <c r="FW27" s="597"/>
      <c r="FX27" s="190"/>
      <c r="GB27" s="31"/>
      <c r="GC27" s="597"/>
      <c r="GD27" s="190"/>
      <c r="GF27" s="154"/>
      <c r="GH27" s="31"/>
      <c r="GI27" s="597"/>
      <c r="GJ27" s="190"/>
      <c r="GN27" s="45"/>
      <c r="GO27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7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7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7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7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7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7" s="202">
        <f t="shared" si="7"/>
        <v>0</v>
      </c>
      <c r="GV27" s="202">
        <f t="shared" si="8"/>
        <v>0</v>
      </c>
      <c r="GW27" s="202">
        <f t="shared" si="84"/>
        <v>0</v>
      </c>
      <c r="GX27" s="200" t="str">
        <f t="shared" si="85"/>
        <v>!</v>
      </c>
      <c r="GY27" s="200" t="str">
        <f t="shared" si="9"/>
        <v>!</v>
      </c>
      <c r="GZ27" s="200" t="str">
        <f t="shared" si="10"/>
        <v>!</v>
      </c>
      <c r="HA27" s="244" t="str">
        <f t="shared" si="86"/>
        <v>nd</v>
      </c>
      <c r="HB27" s="244" t="str">
        <f t="shared" si="87"/>
        <v>nd</v>
      </c>
      <c r="HC27" s="244" t="str">
        <f t="shared" si="88"/>
        <v>nd</v>
      </c>
      <c r="HD27" s="244" t="str">
        <f t="shared" si="89"/>
        <v>nd</v>
      </c>
      <c r="HE27" s="244" t="str">
        <f t="shared" si="90"/>
        <v>nd</v>
      </c>
      <c r="HF27" s="244" t="str">
        <f t="shared" si="91"/>
        <v>nd</v>
      </c>
      <c r="HG27" s="202" t="b">
        <f t="shared" si="92"/>
        <v>0</v>
      </c>
      <c r="HH27" s="202">
        <f t="shared" si="93"/>
        <v>1</v>
      </c>
      <c r="HI27" s="202">
        <f t="shared" si="94"/>
        <v>0</v>
      </c>
      <c r="HJ27" s="200" t="str">
        <f t="shared" si="95"/>
        <v/>
      </c>
      <c r="HK27" s="200" t="str">
        <f t="shared" si="96"/>
        <v/>
      </c>
      <c r="HL27" s="200">
        <f t="shared" si="97"/>
        <v>0</v>
      </c>
      <c r="HM27" s="202" t="str">
        <f t="shared" si="98"/>
        <v/>
      </c>
      <c r="HN27" s="200" t="str">
        <f t="shared" si="99"/>
        <v/>
      </c>
      <c r="HO27" s="200" t="str">
        <f t="shared" si="100"/>
        <v/>
      </c>
      <c r="HP27" s="200" t="str">
        <f t="shared" si="101"/>
        <v/>
      </c>
      <c r="HQ27" s="242" t="str">
        <f t="shared" si="102"/>
        <v/>
      </c>
      <c r="HR27" s="242" t="str">
        <f t="shared" si="103"/>
        <v/>
      </c>
      <c r="HS27" s="242" t="str">
        <f t="shared" si="104"/>
        <v/>
      </c>
      <c r="HT27" s="242" t="str">
        <f t="shared" ca="1" si="105"/>
        <v>Erstes Gerät</v>
      </c>
      <c r="HU27" s="242" t="str">
        <f ca="1">IF(HT27=$HS$12,Stammdaten!$AY$27,IF(HW27=$A$2,TRIM(Stammdaten!$AX$25),""))</f>
        <v>nicht durchgeführt</v>
      </c>
      <c r="HV27" s="242" t="str">
        <f t="shared" ca="1" si="106"/>
        <v/>
      </c>
      <c r="HW27" s="277" t="str">
        <f t="shared" si="11"/>
        <v/>
      </c>
      <c r="HX27" s="202" t="str">
        <f t="shared" si="107"/>
        <v/>
      </c>
      <c r="HY27" s="202" t="str">
        <f t="shared" ca="1" si="108"/>
        <v/>
      </c>
      <c r="HZ27" s="202" t="str">
        <f t="shared" ca="1" si="109"/>
        <v>StdDisziplinen[MaxTextSt]</v>
      </c>
      <c r="IA27" s="202" t="str">
        <f t="shared" ca="1" si="12"/>
        <v/>
      </c>
      <c r="IB27" s="202" t="b">
        <f t="shared" si="110"/>
        <v>0</v>
      </c>
      <c r="IC27" s="202" t="str">
        <f t="shared" si="111"/>
        <v/>
      </c>
      <c r="ID27" s="202" t="str">
        <f t="shared" si="112"/>
        <v/>
      </c>
      <c r="IE27" s="202" t="str">
        <f t="shared" si="113"/>
        <v/>
      </c>
      <c r="IF27" s="202" t="str">
        <f t="shared" si="114"/>
        <v/>
      </c>
      <c r="IG27" s="242" t="str">
        <f t="shared" si="115"/>
        <v/>
      </c>
      <c r="IH27" s="242" t="str">
        <f t="shared" si="116"/>
        <v/>
      </c>
      <c r="II27" s="242" t="str">
        <f t="shared" ca="1" si="13"/>
        <v>Zweites Gerät</v>
      </c>
      <c r="IJ27" s="242" t="str">
        <f ca="1">IF(II27=$IH$12,Stammdaten!$AY$27,IF(IL27=$A$2,TRIM(Stammdaten!$AX$25),""))</f>
        <v>nicht durchgeführt</v>
      </c>
      <c r="IK27" s="242" t="str">
        <f t="shared" ca="1" si="117"/>
        <v/>
      </c>
      <c r="IL27" s="200" t="str">
        <f t="shared" si="14"/>
        <v/>
      </c>
      <c r="IM27" s="202" t="str">
        <f t="shared" si="118"/>
        <v/>
      </c>
      <c r="IN27" s="202" t="str">
        <f t="shared" ca="1" si="119"/>
        <v/>
      </c>
      <c r="IO27" s="202" t="str">
        <f t="shared" ca="1" si="120"/>
        <v>StdDisziplinen[MaxTextSt]</v>
      </c>
      <c r="IP27" s="202" t="str">
        <f t="shared" ca="1" si="121"/>
        <v/>
      </c>
      <c r="IQ27" s="202" t="b">
        <f t="shared" si="122"/>
        <v>0</v>
      </c>
      <c r="IR27" s="242" t="str">
        <f t="shared" ca="1" si="15"/>
        <v>Drittes Gerät</v>
      </c>
      <c r="IS27" s="242" t="str">
        <f ca="1">IF(IR27=$IR$12,MID(Stammdaten!$AX$27,2,LEN(Stammdaten!$AX$27)),IF(IU27=$A$2,TRIM(Stammdaten!$AX$25),""))</f>
        <v>nicht durchgeführt</v>
      </c>
      <c r="IT27" s="242" t="str">
        <f t="shared" ca="1" si="16"/>
        <v/>
      </c>
      <c r="IU27" s="200" t="str">
        <f t="shared" si="17"/>
        <v/>
      </c>
      <c r="IV27" s="202" t="str">
        <f t="shared" si="123"/>
        <v/>
      </c>
      <c r="IW27" s="202" t="str">
        <f t="shared" ca="1" si="124"/>
        <v/>
      </c>
      <c r="IX27" s="202" t="str">
        <f t="shared" ca="1" si="125"/>
        <v>StdDisziplinen[MaxTextSt]</v>
      </c>
      <c r="IY27" s="202" t="str">
        <f t="shared" ca="1" si="18"/>
        <v/>
      </c>
      <c r="IZ27" s="200" t="str">
        <f>IF(NOT(GW27),INDEX(StdFehler[StdFehler],4),IF(COUNTIF(GX27:GZ27,$A$2)&gt;=$IZ$4,$A$3,SUM(GX27:GZ27)))</f>
        <v>Zu wenige Noten</v>
      </c>
      <c r="JA27" s="31"/>
      <c r="JB27" s="587" t="e">
        <f t="shared" si="19"/>
        <v>#VALUE!</v>
      </c>
      <c r="JC27" s="191" t="str">
        <f>IF(OR(Geschlecht[[#This Row],[Geschlecht (Skala)]]="",IZ27=""),"",MID(Geschlecht[[#This Row],[Geschlecht (Skala)]],1,1)&amp;MID($FE$16,1,1))</f>
        <v/>
      </c>
      <c r="JD27" s="190" t="str">
        <f>IF(OR(JC27="",IZ27=""),"",REPLACE(INDEX(StdDisziplinen[TabÜberschriftResultat],$FE$3),FIND("X",INDEX(StdDisziplinen[TabÜberschriftResultat],$FE$3),1),2,JC27))</f>
        <v/>
      </c>
      <c r="JE27" s="192" t="str">
        <f ca="1">IF(OR(JD27="",IZ27=Stammdaten!$AZ$5),"",IF(OR(IZ27=Stammdaten!$AX$22,IZ27=Stammdaten!$AX$19),Stammdaten!$AX$19,IF(ISNA(INDEX(INDIRECT(JD27),MATCH(GeräteturnenGerundet[[#This Row],[Rundung]],INDIRECT(JD27),$JD$16))),IF($JD$16=-1,LARGE(INDIRECT(JD27),1),SMALL(INDIRECT(JD27),1)),INDEX(INDIRECT(JD27),MATCH(GeräteturnenGerundet[[#This Row],[Rundung]],INDIRECT(JD27),$JD$16)))))</f>
        <v/>
      </c>
      <c r="JG27" s="18" t="str">
        <f ca="1">IF(GeräteturnenSkalawert[[#This Row],[Skala-Wert]]="","",REPLACE(INDEX(StdDisziplinen[TabÜberschriftNote],$FE$3),FIND("X",INDEX(StdDisziplinen[TabÜberschriftNote],$FE$3),1),2,JC27))</f>
        <v/>
      </c>
      <c r="JH27" s="45" t="str">
        <f ca="1">IF(OR(JG27="",GeräteturnenSkalawert[[#This Row],[Skala-Wert]]=Stammdaten!$AX$19),"",INDEX(INDIRECT(JG27),MATCH(GeräteturnenSkalawert[[#This Row],[Skala-Wert]],INDIRECT(JD27),0)))</f>
        <v/>
      </c>
      <c r="JI27" s="31"/>
      <c r="JJ27" s="597"/>
      <c r="JK27" s="190"/>
      <c r="JL27" s="587">
        <f>IF(JL$16,IF(JM$16=0.5,MROUND(ParkourResultat[[#This Row],[Resultat]],JM$16),ROUND(ParkourResultat[[#This Row],[Resultat]],JM$16)),ROUNDDOWN(ParkourResultat[[#This Row],[Resultat]],JM$16))</f>
        <v>0</v>
      </c>
      <c r="JM27" s="191" t="str">
        <f>IF(OR(Geschlecht[[#This Row],[Geschlecht (Skala)]]="",JJ$16=""),"",MID(Geschlecht[[#This Row],[Geschlecht (Skala)]],1,1)&amp;MID(JJ$16,1,1))</f>
        <v/>
      </c>
      <c r="JN27" s="190" t="str">
        <f>IF(OR(JM27="",ParkourResultat[[#This Row],[Resultat]]=""),"",REPLACE(INDEX(StdDisziplinen[TabÜberschriftResultat],JJ$3),FIND("X",INDEX(StdDisziplinen[TabÜberschriftResultat],JJ$3),1),2,JM27))</f>
        <v/>
      </c>
      <c r="JO27" s="192" t="str">
        <f ca="1">IF(JN27="","",IF(OR(ParkourResultat[[#This Row],[Resultat]]=Stammdaten!$AX$22,ParkourResultat[[#This Row],[Resultat]]=Stammdaten!$AX$19),Stammdaten!$AX$19,IF(ISNA(INDEX(INDIRECT(JN27),MATCH(ParkourGerundet[[#This Row],[Rundung]],INDIRECT(JN27),JN$18))),IF(JN$18=-1,LARGE(INDIRECT(JN27),1),SMALL(INDIRECT(JN27),1)),INDEX(INDIRECT(JN27),MATCH(ParkourGerundet[[#This Row],[Rundung]],INDIRECT(JN27),JN$18)))))</f>
        <v/>
      </c>
      <c r="JQ27" s="18" t="str">
        <f ca="1">IF(ParkourSkalawert[[#This Row],[Skala-Wert]]="","",REPLACE(INDEX(StdDisziplinen[TabÜberschriftNote],JJ$3),FIND("X",INDEX(StdDisziplinen[TabÜberschriftNote],JJ$3),1),2,JM27))</f>
        <v/>
      </c>
      <c r="JR27" s="31" t="str">
        <f ca="1">IF(OR(JQ27="",ParkourSkalawert[[#This Row],[Skala-Wert]]=Stammdaten!$AX$19),"",INDEX(INDIRECT(JQ27),MATCH(ParkourSkalawert[[#This Row],[Skala-Wert]],INDIRECT(JN27),0)))</f>
        <v/>
      </c>
      <c r="JS27" s="96"/>
      <c r="JT27" s="47" t="str">
        <f ca="1">IF(OR(ISNUMBER(ParkourSkalawert[[#This Row],[Skala-Wert]]),ParkourSkalawert[[#This Row],[Skala-Wert]]=$A$3),INDEX(INDIRECT($JU$1),MATCH($JJ$3,INDIRECT($B$5),0)),"")</f>
        <v/>
      </c>
      <c r="JU27" s="200" t="str">
        <f t="shared" ca="1" si="126"/>
        <v>StdDisziplinen[MaxTextSt]</v>
      </c>
      <c r="JV27" s="200" t="str">
        <f t="shared" ca="1" si="127"/>
        <v/>
      </c>
      <c r="JW27" s="98">
        <f ca="1">IF(GeräteturnenSkalawert[[#This Row],[Skala-Wert]]=$A$3,$A$2,IF(GeräteturnenNote[[#This Row],[Note]]="",0,GeräteturnenNote[[#This Row],[Note]]))</f>
        <v>0</v>
      </c>
      <c r="JX27" s="96">
        <f ca="1">IF(ParkourSkalawert[[#This Row],[Skala-Wert]]=$A$3,$A$2,IF(ParkourNote[[#This Row],[Note]]="",0,ParkourNote[[#This Row],[Note]]))</f>
        <v>0</v>
      </c>
      <c r="JY27" s="200">
        <f t="shared" ca="1" si="128"/>
        <v>0</v>
      </c>
      <c r="JZ27" s="200">
        <f t="shared" ca="1" si="129"/>
        <v>0</v>
      </c>
      <c r="KA27" s="202">
        <f t="shared" ca="1" si="130"/>
        <v>0</v>
      </c>
      <c r="KB27" s="98" t="str">
        <f t="shared" ca="1" si="20"/>
        <v>!</v>
      </c>
      <c r="KC27" s="98" t="str">
        <f t="shared" ca="1" si="21"/>
        <v>!</v>
      </c>
      <c r="KD27" s="202" t="str">
        <f ca="1">IF(NOT(KA27),INDEX(StdFehler[StdFehler],4),IF(JZ27=$KA$12,$A$3,IF(JW27=$A$2,JX27,IF(JX27=$A$2,JW27,CONCATENATE(JW27,", ",JX27)))))</f>
        <v>Zu wenige Noten</v>
      </c>
      <c r="KE27" s="202" t="str">
        <f t="shared" ca="1" si="131"/>
        <v>Zu wenige Noten</v>
      </c>
      <c r="KF27" s="31"/>
      <c r="KG27" s="56" t="str">
        <f ca="1">IF(NOT(KA27),INDEX(StdFehler[StdFehler],4),IF(JZ27=$KA$12,$A$3,ROUND(AVERAGE(KB27:KC27)/$KG$4,0)*$KG$4))</f>
        <v>Zu wenige Noten</v>
      </c>
      <c r="KH27" s="31"/>
      <c r="KI27" s="599"/>
      <c r="KJ27" s="190"/>
      <c r="KK27" s="586">
        <f>IF(KK$16,IF(KL$16=0.5,MROUND(TanzenResultat[[#This Row],[Resultat]],KL$16),ROUND(TanzenResultat[[#This Row],[Resultat]],KL$16)),ROUNDDOWN(TanzenResultat[[#This Row],[Resultat]],KL$16))</f>
        <v>0</v>
      </c>
      <c r="KL27" s="191" t="str">
        <f>IF(OR(Geschlecht[[#This Row],[Geschlecht (Skala)]]="",KI$16=""),"",MID(Geschlecht[[#This Row],[Geschlecht (Skala)]],1,1)&amp;MID(KI$16,1,1))</f>
        <v/>
      </c>
      <c r="KM27" s="190" t="str">
        <f>IF(OR(KL27="",TanzenResultat[[#This Row],[Resultat]]=""),"",REPLACE(INDEX(StdDisziplinen[TabÜberschriftResultat],KI$3),FIND("X",INDEX(StdDisziplinen[TabÜberschriftResultat],KI$3),1),2,KL27))</f>
        <v/>
      </c>
      <c r="KN27" s="31" t="str">
        <f ca="1">IF(KM27="","",IF(OR(TanzenResultat[[#This Row],[Resultat]]=Stammdaten!$AX$22,TanzenResultat[[#This Row],[Resultat]]=Stammdaten!$AX$19),Stammdaten!$AX$19,IF(ISNA(INDEX(INDIRECT(KM27),MATCH(TanzenGerundet[[#This Row],[Rundung]],INDIRECT(KM27),KM$18))),IF(KM$18=-1,LARGE(INDIRECT(KM27),1),SMALL(INDIRECT(KM27),1)),INDEX(INDIRECT(KM27),MATCH(TanzenGerundet[[#This Row],[Rundung]],INDIRECT(KM27),KM$18)))))</f>
        <v/>
      </c>
      <c r="KP27" s="18" t="str">
        <f ca="1">IF(TanzenSkalawert[[#This Row],[Skala-Wert]]="","",REPLACE(INDEX(StdDisziplinen[TabÜberschriftNote],KI$3),FIND("X",INDEX(StdDisziplinen[TabÜberschriftNote],KI$3),1),2,KL27))</f>
        <v/>
      </c>
      <c r="KQ27" s="45" t="str">
        <f ca="1">IF(OR(KP27="",TanzenSkalawert[[#This Row],[Skala-Wert]]=Stammdaten!$AX$19),"",INDEX(INDIRECT(KP27),MATCH(TanzenSkalawert[[#This Row],[Skala-Wert]],INDIRECT(KM27),0)))</f>
        <v/>
      </c>
      <c r="KR27" s="31"/>
      <c r="KS27" s="597"/>
      <c r="KT27" s="190"/>
      <c r="KU27" s="587">
        <f>IF(KU$16,IF(KV$16=0.5,MROUND(RopeSkippingResultat[[#This Row],[Resultat]],KV$16),ROUND(RopeSkippingResultat[[#This Row],[Resultat]],KV$16)),ROUNDDOWN(RopeSkippingResultat[[#This Row],[Resultat]],KV$16))</f>
        <v>0</v>
      </c>
      <c r="KV27" s="191" t="str">
        <f>IF(OR(Geschlecht[[#This Row],[Geschlecht (Skala)]]="",KS$16=""),"",MID(Geschlecht[[#This Row],[Geschlecht (Skala)]],1,1)&amp;MID(KS$16,1,1))</f>
        <v/>
      </c>
      <c r="KW27" s="190" t="str">
        <f>IF(OR(KV27="",RopeSkippingResultat[[#This Row],[Resultat]]=""),"",REPLACE(INDEX(StdDisziplinen[TabÜberschriftResultat],KS$3),FIND("X",INDEX(StdDisziplinen[TabÜberschriftResultat],KS$3),1),2,KV27))</f>
        <v/>
      </c>
      <c r="KX27" s="192" t="str">
        <f ca="1">IF(KW27="","",IF(OR(RopeSkippingResultat[[#This Row],[Resultat]]=Stammdaten!$AX$22,RopeSkippingResultat[[#This Row],[Resultat]]=Stammdaten!$AX$19),Stammdaten!$AX$19,IF(ISNA(INDEX(INDIRECT(KW27),MATCH(RopeSkippingGerundet[[#This Row],[Rundung]],INDIRECT(KW27),KW$18))),IF(KW$18=-1,LARGE(INDIRECT(KW27),1),SMALL(INDIRECT(KW27),1)),INDEX(INDIRECT(KW27),MATCH(RopeSkippingGerundet[[#This Row],[Rundung]],INDIRECT(KW27),KW$18)))))</f>
        <v/>
      </c>
      <c r="KZ27" s="18" t="str">
        <f ca="1">IF(RopeSkippingSkalawert[[#This Row],[Skala-Wert]]="","",REPLACE(INDEX(StdDisziplinen[TabÜberschriftNote],KS$3),FIND("X",INDEX(StdDisziplinen[TabÜberschriftNote],KS$3),1),2,KV27))</f>
        <v/>
      </c>
      <c r="LA27" s="45" t="str">
        <f ca="1">IF(OR(KZ27="",RopeSkippingSkalawert[[#This Row],[Skala-Wert]]=Stammdaten!$AX$19),"",INDEX(INDIRECT(KZ27),MATCH(RopeSkippingSkalawert[[#This Row],[Skala-Wert]],INDIRECT(KW27),0)))</f>
        <v/>
      </c>
      <c r="LB27" s="31"/>
      <c r="LC27" s="599"/>
      <c r="LD27" s="190"/>
      <c r="LE27" s="586">
        <f>IF(LE$16,IF(LF$16=0.5,MROUND(AerobicResultat[[#This Row],[Resultat]],LF$16),ROUND(AerobicResultat[[#This Row],[Resultat]],LF$16)),ROUNDDOWN(AerobicResultat[[#This Row],[Resultat]],LF$16))</f>
        <v>0</v>
      </c>
      <c r="LF27" s="191" t="str">
        <f>IF(OR(Geschlecht[[#This Row],[Geschlecht (Skala)]]="",LC$16=""),"",MID(Geschlecht[[#This Row],[Geschlecht (Skala)]],1,1)&amp;MID(LC$16,1,1))</f>
        <v/>
      </c>
      <c r="LG27" s="190" t="str">
        <f>IF(OR(LF27="",AerobicResultat[[#This Row],[Resultat]]=""),"",REPLACE(INDEX(StdDisziplinen[TabÜberschriftResultat],LC$3),FIND("X",INDEX(StdDisziplinen[TabÜberschriftResultat],LC$3),1),2,LF27))</f>
        <v/>
      </c>
      <c r="LH27" s="31" t="str">
        <f ca="1">IF(LG27="","",IF(OR(AerobicResultat[[#This Row],[Resultat]]=Stammdaten!$AX$22,AerobicResultat[[#This Row],[Resultat]]=Stammdaten!$AX$19),Stammdaten!$AX$19,IF(ISNA(INDEX(INDIRECT(LG27),MATCH(AerobicGerundet[[#This Row],[Rundung]],INDIRECT(LG27),LG$18))),IF(LG$18=-1,LARGE(INDIRECT(LG27),1),SMALL(INDIRECT(LG27),1)),INDEX(INDIRECT(LG27),MATCH(AerobicGerundet[[#This Row],[Rundung]],INDIRECT(LG27),LG$18)))))</f>
        <v/>
      </c>
      <c r="LJ27" s="18" t="str">
        <f ca="1">IF(AerobicSkalawert[[#This Row],[Skala-Wert]]="","",REPLACE(INDEX(StdDisziplinen[TabÜberschriftNote],LC$3),FIND("X",INDEX(StdDisziplinen[TabÜberschriftNote],LC$3),1),2,LF27))</f>
        <v/>
      </c>
      <c r="LK27" s="45" t="str">
        <f ca="1">IF(OR(LJ27="",AerobicSkalawert[[#This Row],[Skala-Wert]]=Stammdaten!$AX$19),"",INDEX(INDIRECT(LJ27),MATCH(AerobicSkalawert[[#This Row],[Skala-Wert]],INDIRECT(LG27),0)))</f>
        <v/>
      </c>
      <c r="LL27" s="31"/>
      <c r="LM27" s="45" t="str">
        <f ca="1">IF(TanzenSkalawert[[#This Row],[Skala-Wert]]=$A$3,$A$2,IF(ISNUMBER(TanzenSkalawert[[#This Row],[Skala-Wert]]),TanzenNote[[#This Row],[Note]],"!"))</f>
        <v>!</v>
      </c>
      <c r="LN27" s="45" t="str">
        <f ca="1">IF(RopeSkippingSkalawert[[#This Row],[Skala-Wert]]=$A$3,$A$2,IF(ISNUMBER(RopeSkippingSkalawert[[#This Row],[Skala-Wert]]),RopeSkippingNote[[#This Row],[Note]],"!"))</f>
        <v>!</v>
      </c>
      <c r="LO27" s="45" t="str">
        <f ca="1">IF(AerobicSkalawert[[#This Row],[Skala-Wert]]=$A$3,$A$2,IF(ISNUMBER(AerobicSkalawert[[#This Row],[Skala-Wert]]),AerobicNote[[#This Row],[Note]],"!"))</f>
        <v>!</v>
      </c>
      <c r="LP27" s="36">
        <f t="shared" ca="1" si="132"/>
        <v>0</v>
      </c>
      <c r="LQ27" s="36">
        <f t="shared" ca="1" si="133"/>
        <v>0</v>
      </c>
      <c r="LR27" s="244" t="str">
        <f t="shared" ca="1" si="22"/>
        <v>nd</v>
      </c>
      <c r="LS27" s="244" t="str">
        <f t="shared" ca="1" si="23"/>
        <v>nd</v>
      </c>
      <c r="LT27" s="244" t="str">
        <f t="shared" ca="1" si="24"/>
        <v>nd</v>
      </c>
      <c r="LU27" s="242" t="str">
        <f t="shared" ca="1" si="25"/>
        <v/>
      </c>
      <c r="LV27" s="242" t="str">
        <f t="shared" ca="1" si="134"/>
        <v/>
      </c>
      <c r="LW27" s="242" t="str">
        <f t="shared" ca="1" si="135"/>
        <v/>
      </c>
      <c r="LX27" s="242" t="str">
        <f ca="1">IF(LW27="",Stammdaten!$AM$4,INDEX(INDIRECT($B$4),MATCH($LW27,INDIRECT($B$5),0)))</f>
        <v>Darstellen und Tanzen</v>
      </c>
      <c r="LY27" s="242" t="str">
        <f ca="1">IF(LW27="",Stammdaten!$AY$27,IF(ISNUMBER(LU27),LX27,IF(ISNUMBER(LV27),TRIM(Stammdaten!$AX$25),"")))</f>
        <v>nicht durchgeführt</v>
      </c>
      <c r="LZ27" s="242" t="str">
        <f t="shared" ca="1" si="136"/>
        <v>Darstellen und Tanzen</v>
      </c>
      <c r="MA27" s="242" t="str">
        <f t="shared" ca="1" si="137"/>
        <v/>
      </c>
      <c r="MB27" s="242" t="str">
        <f t="shared" ca="1" si="26"/>
        <v>Darstellen und TanzenResultat[@Resultat]</v>
      </c>
      <c r="MC27" s="274" t="str">
        <f t="shared" ca="1" si="138"/>
        <v/>
      </c>
      <c r="MD27" s="242" t="str">
        <f t="shared" ca="1" si="139"/>
        <v>Darstellen und TanzenSkalawert[@[Skala-Wert]]</v>
      </c>
      <c r="ME27" s="274" t="str">
        <f t="shared" ca="1" si="140"/>
        <v/>
      </c>
      <c r="MF27" s="47" t="str">
        <f t="shared" ca="1" si="27"/>
        <v/>
      </c>
      <c r="MG27" s="200" t="str">
        <f t="shared" ca="1" si="141"/>
        <v>StdDisziplinen[MaxTextSt]</v>
      </c>
      <c r="MH27" s="200" t="str">
        <f t="shared" ca="1" si="142"/>
        <v/>
      </c>
      <c r="MI27" s="45"/>
      <c r="MJ27" s="98" t="str">
        <f ca="1">IF(LP27&gt;0,MAX(LM27:LO27),IF(LQ27&gt;0,$A$3,INDEX(StdFehler[StdFehler],4)))</f>
        <v>Zu wenige Noten</v>
      </c>
      <c r="MK27" s="45"/>
      <c r="ML27" s="37"/>
      <c r="MM27" s="190"/>
      <c r="MN27" s="586">
        <f>IF(MN$16,IF(MO$16=0.5,MROUND(BasketballResultat[[#This Row],[Resultat]],MO$16),ROUND(BasketballResultat[[#This Row],[Resultat]],MO$16)),ROUNDDOWN(BasketballResultat[[#This Row],[Resultat]],MO$16))</f>
        <v>0</v>
      </c>
      <c r="MO27" s="191" t="str">
        <f>IF(OR(Geschlecht[[#This Row],[Geschlecht (Skala)]]="",ML$16=""),"",MID(Geschlecht[[#This Row],[Geschlecht (Skala)]],1,1)&amp;MID(ML$16,1,1))</f>
        <v/>
      </c>
      <c r="MP27" s="190" t="str">
        <f>IF(OR(MO27="",BasketballResultat[[#This Row],[Resultat]]=""),"",REPLACE(INDEX(StdDisziplinen[TabÜberschriftResultat],ML$3),FIND("X",INDEX(StdDisziplinen[TabÜberschriftResultat],ML$3),1),2,MO27))</f>
        <v/>
      </c>
      <c r="MQ27" s="31" t="str">
        <f ca="1">IF(MP27="","",IF(OR(BasketballResultat[[#This Row],[Resultat]]=Stammdaten!$AX$22,BasketballResultat[[#This Row],[Resultat]]=Stammdaten!$AX$19),Stammdaten!$AX$19,IF(ISNA(INDEX(INDIRECT(MP27),MATCH(BasketballGerundet[[#This Row],[Rundung]],INDIRECT(MP27),MP$18))),IF(MP$18=-1,LARGE(INDIRECT(MP27),1),SMALL(INDIRECT(MP27),1)),INDEX(INDIRECT(MP27),MATCH(BasketballGerundet[[#This Row],[Rundung]],INDIRECT(MP27),MP$18)))))</f>
        <v/>
      </c>
      <c r="MS27" s="18" t="str">
        <f ca="1">IF(BasketballSkalawert[[#This Row],[Skala-Wert]]="","",REPLACE(INDEX(StdDisziplinen[TabÜberschriftNote],ML$3),FIND("X",INDEX(StdDisziplinen[TabÜberschriftNote],ML$3),1),2,MO27))</f>
        <v/>
      </c>
      <c r="MT27" s="31" t="str">
        <f ca="1">IF(OR(MS27="",BasketballSkalawert[[#This Row],[Skala-Wert]]=Stammdaten!$AX$19),"",INDEX(INDIRECT(MS27),MATCH(BasketballSkalawert[[#This Row],[Skala-Wert]],INDIRECT(MP27),0)))</f>
        <v/>
      </c>
      <c r="MU27" s="31"/>
      <c r="MV27" s="37"/>
      <c r="MW27" s="190"/>
      <c r="MX27" s="586">
        <f>IF(MX$16,IF(MY$16=0.5,MROUND(FussballResultat[[#This Row],[Resultat]],MY$16),ROUND(FussballResultat[[#This Row],[Resultat]],MY$16)),ROUNDDOWN(FussballResultat[[#This Row],[Resultat]],MY$16))</f>
        <v>0</v>
      </c>
      <c r="MY27" s="191" t="str">
        <f>IF(OR(Geschlecht[[#This Row],[Geschlecht (Skala)]]="",MV$16=""),"",MID(Geschlecht[[#This Row],[Geschlecht (Skala)]],1,1)&amp;MID(MV$16,1,1))</f>
        <v/>
      </c>
      <c r="MZ27" s="190" t="str">
        <f>IF(OR(MY27="",FussballResultat[[#This Row],[Resultat]]=""),"",REPLACE(INDEX(StdDisziplinen[TabÜberschriftResultat],MV$3),FIND("X",INDEX(StdDisziplinen[TabÜberschriftResultat],MV$3),1),2,MY27))</f>
        <v/>
      </c>
      <c r="NA27" s="31" t="str">
        <f ca="1">IF(MZ27="","",IF(OR(FussballResultat[[#This Row],[Resultat]]=Stammdaten!$AX$22,FussballResultat[[#This Row],[Resultat]]=Stammdaten!$AX$19),Stammdaten!$AX$19,IF(ISNA(INDEX(INDIRECT(MZ27),MATCH(FussballGerundet[[#This Row],[Rundung]],INDIRECT(MZ27),MZ$18))),IF(MZ$18=-1,LARGE(INDIRECT(MZ27),1),SMALL(INDIRECT(MZ27),1)),INDEX(INDIRECT(MZ27),MATCH(FussballGerundet[[#This Row],[Rundung]],INDIRECT(MZ27),MZ$18)))))</f>
        <v/>
      </c>
      <c r="NC27" s="18" t="str">
        <f ca="1">IF(FussballSkalawert[[#This Row],[Skala-Wert]]="","",REPLACE(INDEX(StdDisziplinen[TabÜberschriftNote],MV$3),FIND("X",INDEX(StdDisziplinen[TabÜberschriftNote],MV$3),1),2,MY27))</f>
        <v/>
      </c>
      <c r="ND27" s="31" t="str">
        <f ca="1">IF(OR(NC27="",FussballSkalawert[[#This Row],[Skala-Wert]]=Stammdaten!$AX$19),"",INDEX(INDIRECT(NC27),MATCH(FussballSkalawert[[#This Row],[Skala-Wert]],INDIRECT(MZ27),0)))</f>
        <v/>
      </c>
      <c r="NE27" s="31"/>
      <c r="NF27" s="37"/>
      <c r="NG27" s="190"/>
      <c r="NH27" s="586">
        <f>IF(NH$16,IF(NI$16=0.5,MROUND(HandballResultat[[#This Row],[Resultat]],NI$16),ROUND(HandballResultat[[#This Row],[Resultat]],NI$16)),ROUNDDOWN(HandballResultat[[#This Row],[Resultat]],NI$16))</f>
        <v>0</v>
      </c>
      <c r="NI27" s="191" t="str">
        <f>IF(OR(Geschlecht[[#This Row],[Geschlecht (Skala)]]="",NF$16=""),"",MID(Geschlecht[[#This Row],[Geschlecht (Skala)]],1,1)&amp;MID(NF$16,1,1))</f>
        <v/>
      </c>
      <c r="NJ27" s="190" t="str">
        <f>IF(OR(NI27="",HandballResultat[[#This Row],[Resultat]]=""),"",REPLACE(INDEX(StdDisziplinen[TabÜberschriftResultat],NF$3),FIND("X",INDEX(StdDisziplinen[TabÜberschriftResultat],NF$3),1),2,NI27))</f>
        <v/>
      </c>
      <c r="NK27" s="31" t="str">
        <f ca="1">IF(NJ27="","",IF(OR(HandballResultat[[#This Row],[Resultat]]=Stammdaten!$AX$22,HandballResultat[[#This Row],[Resultat]]=Stammdaten!$AX$19),Stammdaten!$AX$19,IF(ISNA(INDEX(INDIRECT(NJ27),MATCH(HandballGerundet[[#This Row],[Rundung]],INDIRECT(NJ27),NJ$18))),IF(NJ$18=-1,LARGE(INDIRECT(NJ27),1),SMALL(INDIRECT(NJ27),1)),INDEX(INDIRECT(NJ27),MATCH(HandballGerundet[[#This Row],[Rundung]],INDIRECT(NJ27),NJ$18)))))</f>
        <v/>
      </c>
      <c r="NM27" s="18" t="str">
        <f ca="1">IF(HandballSkalawert[[#This Row],[Skala-Wert]]="","",REPLACE(INDEX(StdDisziplinen[TabÜberschriftNote],NF$3),FIND("X",INDEX(StdDisziplinen[TabÜberschriftNote],NF$3),1),2,NI27))</f>
        <v/>
      </c>
      <c r="NN27" s="31" t="str">
        <f ca="1">IF(OR(NM27="",HandballSkalawert[[#This Row],[Skala-Wert]]=Stammdaten!$AX$19),"",INDEX(INDIRECT(NM27),MATCH(HandballSkalawert[[#This Row],[Skala-Wert]],INDIRECT(NJ27),0)))</f>
        <v/>
      </c>
      <c r="NO27" s="31"/>
      <c r="NP27" s="37"/>
      <c r="NQ27" s="190"/>
      <c r="NR27" s="586">
        <f>IF(NR$16,IF(NS$16=0.5,MROUND(UnihockeyResultat[[#This Row],[Resultat]],NS$16),ROUND(UnihockeyResultat[[#This Row],[Resultat]],NS$16)),ROUNDDOWN(UnihockeyResultat[[#This Row],[Resultat]],NS$16))</f>
        <v>0</v>
      </c>
      <c r="NS27" s="191" t="str">
        <f>IF(OR(Geschlecht[[#This Row],[Geschlecht (Skala)]]="",NP$16=""),"",MID(Geschlecht[[#This Row],[Geschlecht (Skala)]],1,1)&amp;MID(NP$16,1,1))</f>
        <v/>
      </c>
      <c r="NT27" s="190" t="str">
        <f>IF(OR(NS27="",UnihockeyResultat[[#This Row],[Resultat]]=""),"",REPLACE(INDEX(StdDisziplinen[TabÜberschriftResultat],NP$3),FIND("X",INDEX(StdDisziplinen[TabÜberschriftResultat],NP$3),1),2,NS27))</f>
        <v/>
      </c>
      <c r="NU27" s="31" t="str">
        <f ca="1">IF(NT27="","",IF(OR(UnihockeyResultat[[#This Row],[Resultat]]=Stammdaten!$AX$22,UnihockeyResultat[[#This Row],[Resultat]]=Stammdaten!$AX$19),Stammdaten!$AX$19,IF(ISNA(INDEX(INDIRECT(NT27),MATCH(UnihockeyGerundet[[#This Row],[Rundung]],INDIRECT(NT27),NT$18))),IF(NT$18=-1,LARGE(INDIRECT(NT27),1),SMALL(INDIRECT(NT27),1)),INDEX(INDIRECT(NT27),MATCH(UnihockeyGerundet[[#This Row],[Rundung]],INDIRECT(NT27),NT$18)))))</f>
        <v/>
      </c>
      <c r="NW27" s="18" t="str">
        <f ca="1">IF(UnihockeySkalawert[[#This Row],[Skala-Wert]]="","",REPLACE(INDEX(StdDisziplinen[TabÜberschriftNote],NP$3),FIND("X",INDEX(StdDisziplinen[TabÜberschriftNote],NP$3),1),2,NS27))</f>
        <v/>
      </c>
      <c r="NX27" s="31" t="str">
        <f ca="1">IF(OR(NW27="",UnihockeySkalawert[[#This Row],[Skala-Wert]]=Stammdaten!$AX$19),"",INDEX(INDIRECT(NW27),MATCH(UnihockeySkalawert[[#This Row],[Skala-Wert]],INDIRECT(NT27),0)))</f>
        <v/>
      </c>
      <c r="NY27" s="31"/>
      <c r="NZ27" s="597"/>
      <c r="OA27" s="190"/>
      <c r="OB27" s="587">
        <f>IF(OB$16,IF(OC$16=0.5,MROUND(VolleyballResultat[[#This Row],[Resultat]],OC$16),ROUND(VolleyballResultat[[#This Row],[Resultat]],OC$16)),ROUNDDOWN(VolleyballResultat[[#This Row],[Resultat]],OC$16))</f>
        <v>0</v>
      </c>
      <c r="OC27" s="191" t="str">
        <f>IF(OR(Geschlecht[[#This Row],[Geschlecht (Skala)]]="",NZ$16=""),"",MID(Geschlecht[[#This Row],[Geschlecht (Skala)]],1,1)&amp;MID(NZ$16,1,1))</f>
        <v/>
      </c>
      <c r="OD27" s="190" t="str">
        <f>IF(OR(OC27="",VolleyballResultat[[#This Row],[Resultat]]=""),"",REPLACE(INDEX(StdDisziplinen[TabÜberschriftResultat],NZ$3),FIND("X",INDEX(StdDisziplinen[TabÜberschriftResultat],NZ$3),1),2,OC27))</f>
        <v/>
      </c>
      <c r="OE27" s="192" t="str">
        <f ca="1">IF(OD27="","",IF(OR(VolleyballResultat[[#This Row],[Resultat]]=Stammdaten!$AX$22,VolleyballResultat[[#This Row],[Resultat]]=Stammdaten!$AX$19),Stammdaten!$AX$19,IF(ISNA(INDEX(INDIRECT(OD27),MATCH(VolleyballGerundet[[#This Row],[Rundung]],INDIRECT(OD27),OD$18))),IF(OD$18=-1,LARGE(INDIRECT(OD27),1),SMALL(INDIRECT(OD27),1)),INDEX(INDIRECT(OD27),MATCH(VolleyballGerundet[[#This Row],[Rundung]],INDIRECT(OD27),OD$18)))))</f>
        <v/>
      </c>
      <c r="OG27" s="18" t="str">
        <f ca="1">IF(VolleyballSkalawert[[#This Row],[Skala-Wert]]="","",REPLACE(INDEX(StdDisziplinen[TabÜberschriftNote],NZ$3),FIND("X",INDEX(StdDisziplinen[TabÜberschriftNote],NZ$3),1),2,OC27))</f>
        <v/>
      </c>
      <c r="OH27" s="31" t="str">
        <f ca="1">IF(OR(OG27="",VolleyballSkalawert[[#This Row],[Skala-Wert]]=Stammdaten!$AX$19),"",INDEX(INDIRECT(OG27),MATCH(VolleyballSkalawert[[#This Row],[Skala-Wert]],INDIRECT(OD27),0)))</f>
        <v/>
      </c>
      <c r="OI27" s="45"/>
      <c r="OJ27" s="31">
        <f ca="1">IF(BasketballSkalawert[[#This Row],[Skala-Wert]]=$A$3,$A$2,IF(BasketballNote[[#This Row],[Note]]="",0,BasketballNote[[#This Row],[Note]]))</f>
        <v>0</v>
      </c>
      <c r="OK27" s="31">
        <f ca="1">IF(FussballSkalawert[[#This Row],[Skala-Wert]]=$A$3,$A$2,IF(FussballNote[[#This Row],[Note]]="",0,FussballNote[[#This Row],[Note]]))</f>
        <v>0</v>
      </c>
      <c r="OL27" s="31">
        <f ca="1">IF(HandballSkalawert[[#This Row],[Skala-Wert]]=$A$3,$A$2,IF(HandballNote[[#This Row],[Note]]="",0,HandballNote[[#This Row],[Note]]))</f>
        <v>0</v>
      </c>
      <c r="OM27" s="31">
        <f ca="1">IF(UnihockeySkalawert[[#This Row],[Skala-Wert]]=$A$3,$A$2,IF(UnihockeyNote[[#This Row],[Note]]="",0,UnihockeyNote[[#This Row],[Note]]))</f>
        <v>0</v>
      </c>
      <c r="ON27" s="31">
        <f ca="1">IF(VolleyballSkalawert[[#This Row],[Skala-Wert]]=$A$3,$A$2,IF(VolleyballNote[[#This Row],[Note]]="",0,VolleyballNote[[#This Row],[Note]]))</f>
        <v>0</v>
      </c>
      <c r="OO27" s="202">
        <f t="shared" ca="1" si="28"/>
        <v>0</v>
      </c>
      <c r="OP27" s="202">
        <f t="shared" ca="1" si="29"/>
        <v>0</v>
      </c>
      <c r="OQ27" s="202">
        <f t="shared" ca="1" si="143"/>
        <v>0</v>
      </c>
      <c r="OR27" s="96" t="str">
        <f t="shared" ca="1" si="144"/>
        <v>!</v>
      </c>
      <c r="OS27" s="96" t="str">
        <f t="shared" ca="1" si="30"/>
        <v>!</v>
      </c>
      <c r="OT27" s="96" t="str">
        <f t="shared" ca="1" si="31"/>
        <v>!</v>
      </c>
      <c r="OU27" s="96" t="str">
        <f ca="1">IF(NOT(OQ27),INDEX(StdFehler[StdFehler],4),IF(COUNTIF(OR27:OT27,$A$2)&gt;=$OQ$13,$A$3,ROUND(AVERAGE(OR27:OT27)/$RX$4,0)*$RX$4))</f>
        <v>Zu wenige Noten</v>
      </c>
      <c r="OV27" s="244" t="str">
        <f t="shared" ca="1" si="145"/>
        <v>nd</v>
      </c>
      <c r="OW27" s="244" t="str">
        <f t="shared" ca="1" si="146"/>
        <v>nd</v>
      </c>
      <c r="OX27" s="244" t="str">
        <f t="shared" ca="1" si="147"/>
        <v>nd</v>
      </c>
      <c r="OY27" s="244" t="str">
        <f t="shared" ca="1" si="148"/>
        <v>nd</v>
      </c>
      <c r="OZ27" s="244" t="str">
        <f t="shared" ca="1" si="149"/>
        <v>nd</v>
      </c>
      <c r="PA27" s="202" t="b">
        <f t="shared" ca="1" si="150"/>
        <v>0</v>
      </c>
      <c r="PB27" s="202">
        <f t="shared" ca="1" si="151"/>
        <v>1</v>
      </c>
      <c r="PC27" s="202">
        <f t="shared" ca="1" si="152"/>
        <v>0</v>
      </c>
      <c r="PD27" s="96" t="str">
        <f t="shared" ca="1" si="153"/>
        <v/>
      </c>
      <c r="PE27" s="96" t="str">
        <f t="shared" ca="1" si="154"/>
        <v/>
      </c>
      <c r="PF27" s="200">
        <f t="shared" ca="1" si="155"/>
        <v>0</v>
      </c>
      <c r="PG27" s="202" t="str">
        <f t="shared" ca="1" si="156"/>
        <v/>
      </c>
      <c r="PH27" s="200" t="str">
        <f t="shared" ca="1" si="157"/>
        <v/>
      </c>
      <c r="PI27" s="200" t="str">
        <f t="shared" ca="1" si="158"/>
        <v/>
      </c>
      <c r="PJ27" s="200" t="str">
        <f t="shared" ca="1" si="159"/>
        <v/>
      </c>
      <c r="PK27" s="242" t="str">
        <f t="shared" ca="1" si="160"/>
        <v/>
      </c>
      <c r="PL27" s="242" t="str">
        <f t="shared" ca="1" si="161"/>
        <v/>
      </c>
      <c r="PM27" s="242" t="str">
        <f t="shared" ca="1" si="162"/>
        <v/>
      </c>
      <c r="PN27" s="242" t="str">
        <f t="shared" ca="1" si="163"/>
        <v>Erste Spielsportart</v>
      </c>
      <c r="PO27" s="242" t="str">
        <f ca="1">IF(PN27=$PM$11,Stammdaten!$AY$27,IF(PR27=$A$2,TRIM(Stammdaten!$AX$25),""))</f>
        <v>nicht durchgeführt</v>
      </c>
      <c r="PP27" s="242" t="str">
        <f t="shared" ca="1" si="164"/>
        <v/>
      </c>
      <c r="PQ27" s="202" t="str">
        <f t="shared" ca="1" si="165"/>
        <v>Erste SpielsportartResultat[@Resultat]</v>
      </c>
      <c r="PR27" s="98" t="str">
        <f t="shared" ca="1" si="166"/>
        <v/>
      </c>
      <c r="PS27" s="202" t="str">
        <f t="shared" ca="1" si="167"/>
        <v/>
      </c>
      <c r="PT27" s="202" t="str">
        <f t="shared" ca="1" si="168"/>
        <v>Erste SpielsportartSkalawert[@[Skala-Wert]]</v>
      </c>
      <c r="PU27" s="98" t="str">
        <f t="shared" ca="1" si="169"/>
        <v/>
      </c>
      <c r="PV27" s="202" t="str">
        <f t="shared" ca="1" si="170"/>
        <v/>
      </c>
      <c r="PW27" s="202" t="str">
        <f t="shared" ca="1" si="171"/>
        <v/>
      </c>
      <c r="PX27" s="202" t="str">
        <f t="shared" ca="1" si="172"/>
        <v>StdDisziplinen[MaxTextSt]</v>
      </c>
      <c r="PY27" s="202" t="str">
        <f t="shared" ca="1" si="173"/>
        <v/>
      </c>
      <c r="PZ27" s="202" t="b">
        <f t="shared" ca="1" si="174"/>
        <v>0</v>
      </c>
      <c r="QA27" s="202" t="str">
        <f t="shared" ca="1" si="175"/>
        <v/>
      </c>
      <c r="QB27" s="202" t="str">
        <f t="shared" ca="1" si="32"/>
        <v/>
      </c>
      <c r="QC27" s="202" t="str">
        <f t="shared" ca="1" si="176"/>
        <v/>
      </c>
      <c r="QD27" s="202" t="str">
        <f t="shared" ca="1" si="177"/>
        <v/>
      </c>
      <c r="QE27" s="242" t="str">
        <f t="shared" ca="1" si="178"/>
        <v/>
      </c>
      <c r="QF27" s="242" t="str">
        <f t="shared" ca="1" si="179"/>
        <v/>
      </c>
      <c r="QG27" s="242" t="str">
        <f t="shared" ca="1" si="180"/>
        <v>Zweite Spielsportart</v>
      </c>
      <c r="QH27" s="242" t="str">
        <f ca="1">IF(QG27=$QF$11,Stammdaten!$AY$27,IF(QK27=$A$2,TRIM(Stammdaten!$AX$25),""))</f>
        <v>nicht durchgeführt</v>
      </c>
      <c r="QI27" s="242" t="str">
        <f t="shared" ca="1" si="181"/>
        <v/>
      </c>
      <c r="QJ27" s="202" t="str">
        <f t="shared" ca="1" si="182"/>
        <v>Zweite SpielsportartResultat[@Resultat]</v>
      </c>
      <c r="QK27" s="98" t="str">
        <f t="shared" ca="1" si="183"/>
        <v/>
      </c>
      <c r="QL27" s="202" t="str">
        <f t="shared" ca="1" si="184"/>
        <v/>
      </c>
      <c r="QM27" s="202" t="str">
        <f t="shared" ca="1" si="185"/>
        <v>Zweite SpielsportartSkalawert[@[Skala-Wert]]</v>
      </c>
      <c r="QN27" s="98" t="str">
        <f t="shared" ca="1" si="186"/>
        <v/>
      </c>
      <c r="QO27" s="202" t="str">
        <f t="shared" ca="1" si="187"/>
        <v/>
      </c>
      <c r="QP27" s="202" t="str">
        <f t="shared" ca="1" si="188"/>
        <v/>
      </c>
      <c r="QQ27" s="202" t="str">
        <f t="shared" ca="1" si="189"/>
        <v>StdDisziplinen[MaxTextSt]</v>
      </c>
      <c r="QR27" s="202" t="str">
        <f t="shared" ca="1" si="190"/>
        <v/>
      </c>
      <c r="QS27" s="202" t="b">
        <f t="shared" ca="1" si="191"/>
        <v>0</v>
      </c>
      <c r="QT27" s="242" t="str">
        <f t="shared" ca="1" si="33"/>
        <v>Dritte Spielsportart</v>
      </c>
      <c r="QU27" s="242" t="str">
        <f ca="1">IF(QT27=$QT$11,MID(Stammdaten!$AX$27,2,LEN(Stammdaten!$AX$27)),IF(QX27=$A$2,TRIM(Stammdaten!$AX$25),""))</f>
        <v>nicht durchgeführt</v>
      </c>
      <c r="QV27" s="242" t="str">
        <f t="shared" ca="1" si="34"/>
        <v/>
      </c>
      <c r="QW27" s="202" t="str">
        <f t="shared" ca="1" si="192"/>
        <v>Dritte SpielsportartResultat[@Resultat]</v>
      </c>
      <c r="QX27" s="98" t="str">
        <f t="shared" ca="1" si="193"/>
        <v/>
      </c>
      <c r="QY27" s="202" t="str">
        <f t="shared" ca="1" si="35"/>
        <v/>
      </c>
      <c r="QZ27" s="202" t="str">
        <f t="shared" ca="1" si="194"/>
        <v>Dritte SpielsportartSkalawert[@[Skala-Wert]]</v>
      </c>
      <c r="RA27" s="98" t="str">
        <f t="shared" ca="1" si="195"/>
        <v/>
      </c>
      <c r="RB27" s="202" t="str">
        <f t="shared" ca="1" si="36"/>
        <v/>
      </c>
      <c r="RC27" s="202" t="str">
        <f t="shared" ca="1" si="196"/>
        <v/>
      </c>
      <c r="RD27" s="202" t="str">
        <f t="shared" ca="1" si="197"/>
        <v>StdDisziplinen[MaxTextSt]</v>
      </c>
      <c r="RE27" s="202" t="str">
        <f t="shared" ca="1" si="37"/>
        <v/>
      </c>
      <c r="RF27" s="244">
        <f t="shared" ca="1" si="38"/>
        <v>99</v>
      </c>
      <c r="RG27" s="244">
        <f t="shared" ca="1" si="39"/>
        <v>99</v>
      </c>
      <c r="RH27" s="244">
        <f t="shared" ca="1" si="40"/>
        <v>99</v>
      </c>
      <c r="RI27" s="244">
        <f t="shared" ca="1" si="41"/>
        <v>99</v>
      </c>
      <c r="RJ27" s="244">
        <f t="shared" ca="1" si="42"/>
        <v>99</v>
      </c>
      <c r="RK27" s="244">
        <f t="shared" ca="1" si="198"/>
        <v>99</v>
      </c>
      <c r="RL27" s="244">
        <f t="shared" ca="1" si="199"/>
        <v>99</v>
      </c>
      <c r="RM27" s="244">
        <f t="shared" ca="1" si="200"/>
        <v>99</v>
      </c>
      <c r="RN27" s="244">
        <f t="shared" ca="1" si="201"/>
        <v>99</v>
      </c>
      <c r="RO27" s="244">
        <f t="shared" ca="1" si="202"/>
        <v>99</v>
      </c>
      <c r="RP27" s="202" t="str">
        <f t="shared" ca="1" si="43"/>
        <v>Zu wenige Noten</v>
      </c>
      <c r="RQ27" s="202" t="str">
        <f t="shared" ca="1" si="203"/>
        <v>Zu wenige Noten</v>
      </c>
      <c r="RR27" s="202" t="str">
        <f t="shared" ca="1" si="203"/>
        <v>Zu wenige Noten</v>
      </c>
      <c r="RS27" s="202" t="str">
        <f t="shared" ca="1" si="204"/>
        <v>Zu wenige Noten</v>
      </c>
      <c r="RT27" s="202" t="str">
        <f t="shared" ca="1" si="204"/>
        <v>Zu wenige Noten</v>
      </c>
      <c r="RU27" s="202" t="str">
        <f t="shared" ca="1" si="205"/>
        <v>Zu wenige Noten</v>
      </c>
      <c r="RV27" s="202" t="str">
        <f t="shared" ca="1" si="206"/>
        <v>Zu wenige Noten</v>
      </c>
      <c r="RW27" s="31"/>
      <c r="RX27" s="56" t="str">
        <f t="shared" ca="1" si="44"/>
        <v>Zu wenige Noten</v>
      </c>
      <c r="RY27" s="31"/>
      <c r="RZ27" s="31" t="str">
        <f t="shared" ca="1" si="45"/>
        <v>Zu wenige Noten</v>
      </c>
      <c r="SA27" s="31" t="str">
        <f t="shared" ca="1" si="46"/>
        <v>Zu wenige Noten</v>
      </c>
      <c r="SB27" s="45" t="str">
        <f t="shared" ca="1" si="47"/>
        <v>Zu wenige Noten</v>
      </c>
      <c r="SC27" s="31" t="str">
        <f t="shared" ca="1" si="207"/>
        <v>Zu wenige Noten</v>
      </c>
      <c r="SD27" s="31" t="str">
        <f t="shared" ca="1" si="208"/>
        <v>Zu wenige Noten</v>
      </c>
      <c r="SE27" s="31" t="str">
        <f t="shared" ca="1" si="48"/>
        <v>Zu wenige Noten</v>
      </c>
      <c r="SF27" s="31" t="str">
        <f t="shared" ca="1" si="209"/>
        <v>Zu wenige Noten</v>
      </c>
      <c r="SG27" s="31" t="str">
        <f t="shared" ca="1" si="48"/>
        <v>Zu wenige Noten</v>
      </c>
      <c r="SH27" s="36">
        <f t="shared" ca="1" si="210"/>
        <v>0</v>
      </c>
      <c r="SI27" s="36">
        <f t="shared" ca="1" si="211"/>
        <v>0</v>
      </c>
      <c r="SJ27" s="36">
        <f t="shared" ca="1" si="212"/>
        <v>0</v>
      </c>
      <c r="SK27" s="31">
        <f t="shared" ca="1" si="213"/>
        <v>99</v>
      </c>
      <c r="SL27" s="31">
        <f t="shared" ca="1" si="214"/>
        <v>99</v>
      </c>
      <c r="SM27" s="36" t="str">
        <f t="shared" ca="1" si="215"/>
        <v>99.0</v>
      </c>
      <c r="SN27" s="31">
        <f t="shared" ca="1" si="216"/>
        <v>99</v>
      </c>
      <c r="SO27" s="36" t="str">
        <f ca="1">IF(NOT(SJ27),INDEX(StdFehler[StdFehler],4),IF(SI27=$SJ$13,$A$3,CONCATENATE(TEXT(SK27,"#.0"),", ",TEXT(SL27,"#.0"),", ",SM27,", ",TEXT(SN27,"#.0"))))</f>
        <v>Zu wenige Noten</v>
      </c>
      <c r="SP27" s="36" t="str">
        <f t="shared" ca="1" si="49"/>
        <v>Zu wenige Noten</v>
      </c>
      <c r="SQ27" s="36" t="str">
        <f t="shared" ca="1" si="49"/>
        <v>Zu wenige Noten</v>
      </c>
      <c r="SR27" s="36" t="str">
        <f t="shared" ca="1" si="49"/>
        <v>Zu wenige Noten</v>
      </c>
      <c r="SS27" s="36" t="str">
        <f t="shared" ca="1" si="49"/>
        <v>Zu wenige Noten</v>
      </c>
      <c r="ST27" s="36" t="str">
        <f t="shared" ca="1" si="217"/>
        <v>Zu wenige Noten</v>
      </c>
      <c r="SU27" s="36"/>
      <c r="SV27" s="214" t="str">
        <f t="shared" si="218"/>
        <v>D</v>
      </c>
      <c r="SW27" s="36"/>
      <c r="SX27" s="214" t="str">
        <f t="shared" si="219"/>
        <v>D</v>
      </c>
      <c r="SY27" s="36"/>
      <c r="SZ27" s="214" t="str">
        <f t="shared" si="220"/>
        <v>D</v>
      </c>
      <c r="TA27" s="36"/>
      <c r="TB27" s="214" t="str">
        <f t="shared" si="221"/>
        <v>D</v>
      </c>
      <c r="TC27" s="31"/>
      <c r="TD27" s="36" t="str">
        <f t="shared" ca="1" si="222"/>
        <v>Zu wenige Noten</v>
      </c>
      <c r="TE27" s="31"/>
      <c r="TF27" s="193" t="str">
        <f ca="1">IF(NOT(SJ27),INDEX(StdFehler[StdFehler],4),IF(SI27=$TF$4,$A$3,ROUND(AVERAGE(RZ27:SC27)/$TF$5,0)*$TF$5))</f>
        <v>Zu wenige Noten</v>
      </c>
      <c r="TH27" s="595" t="str">
        <f>IF(OR($TH$18=Stammdaten!$AX$20,$TH$18=""),Stammdaten!$AX$20,$TH$18)</f>
        <v>Disziplin</v>
      </c>
      <c r="TI27" s="33"/>
      <c r="TJ27" s="33" t="str">
        <f>IF(OR(Geschlecht[[#This Row],[Geschlecht (Skala)]]="",TH27="",TH27=Stammdaten!$AX$20),"",REPLACE(INDEX(StdDisziplinen[TabÜberschriftResultat],TH$3),FIND("XX",INDEX(StdDisziplinen[TabÜberschriftResultat],TH$3),1),2,Geschlecht[[#This Row],[Geschlecht (Skala)]]))</f>
        <v/>
      </c>
      <c r="TK27" s="596"/>
      <c r="TM27" s="37"/>
      <c r="TN27" s="40"/>
      <c r="TO27" s="587">
        <f>IF(TO$16,IF(TP$16=0.5,MROUND(SchwimmenResultat[[#This Row],[Resultat]],TP$16),ROUND(SchwimmenResultat[[#This Row],[Resultat]],TP$16)),ROUNDDOWN(SchwimmenResultat[[#This Row],[Resultat]],TP$16))</f>
        <v>0</v>
      </c>
      <c r="TP27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7" s="153" t="str">
        <f ca="1">IF(TP27="","",IF(OR(SchwimmenResultat[[#This Row],[Resultat]]=Stammdaten!$AX$22,SchwimmenResultat[[#This Row],[Resultat]]=Stammdaten!$AX$19),Stammdaten!$AX$19,IF(ISNA(INDEX(INDIRECT(TP27),MATCH(SchwimmenGerundet[[#This Row],[Rundung]],INDIRECT(TP27),TP$18))),IF(TP$18=-1,LARGE(INDIRECT(TP27),1),SMALL(INDIRECT(TP27),1)),INDEX(INDIRECT(TP27),MATCH(SchwimmenGerundet[[#This Row],[Rundung]],INDIRECT(TP27),TP$18)))))</f>
        <v/>
      </c>
      <c r="TR27" s="33" t="str">
        <f>IF(OR(TP27="",SchwimmenResultat[[#This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7" s="33"/>
      <c r="TT27" s="36" t="str">
        <f ca="1">IF(OR(TR27="",SchwimmenSkalawert[[#This Row],[Skala-Wert]]=Stammdaten!$AX$19),"",INDEX(INDIRECT(TR27),MATCH(SchwimmenSkalawert[[#This Row],[Skala-Wert]],INDIRECT(TP27),0)))</f>
        <v/>
      </c>
      <c r="TU27" s="36"/>
      <c r="TV27" s="190" t="str">
        <f>IF(ZwölfMinLaufHalleResultat[[#This Row],[Resultat]]=0,"",ZwölfMinLaufHalleResultat[[#This Row],[Resultat]])</f>
        <v/>
      </c>
      <c r="TW27" s="190"/>
      <c r="TX27" s="31" t="str">
        <f ca="1">ZwölfMinLaufHalleSkalawert[[#This Row],[Skala-Wert]]</f>
        <v/>
      </c>
      <c r="TZ27" s="31" t="str">
        <f ca="1">ZwölfMinLaufHalleNote[[#This Row],[Note]]</f>
        <v/>
      </c>
      <c r="UA27" s="31"/>
      <c r="UB27" s="190" t="str">
        <f>IF(ZwölfMinLaufimFreienResultat[[#This Row],[Resultat]]=0,"",ZwölfMinLaufimFreienResultat[[#This Row],[Resultat]])</f>
        <v/>
      </c>
      <c r="UC27" s="190"/>
      <c r="UD27" s="192" t="str">
        <f ca="1">ZwölfMinLaufimFreienSkalawert[[#This Row],[Skala-Wert]]</f>
        <v/>
      </c>
      <c r="UF27" s="31" t="str">
        <f ca="1">ZwölfMinLaufimFreienNote[[#This Row],[Note]]</f>
        <v/>
      </c>
      <c r="UG27" s="31"/>
      <c r="UH27" s="597"/>
      <c r="UI27" s="190"/>
      <c r="UJ27" s="587">
        <f>IF(UJ$16,IF(UK$16=0.5,MROUND(BeweglichkeitResultat[[#This Row],[Resultat]],UK$16),ROUND(BeweglichkeitResultat[[#This Row],[Resultat]],UK$16)),ROUNDDOWN(BeweglichkeitResultat[[#This Row],[Resultat]],UK$16))</f>
        <v>0</v>
      </c>
      <c r="UK27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7" s="192" t="str">
        <f ca="1">IF(UK27="","",IF(OR(BeweglichkeitResultat[[#This Row],[Resultat]]=Stammdaten!$AX$22,BeweglichkeitResultat[[#This Row],[Resultat]]=Stammdaten!$AX$19),Stammdaten!$AX$19,IF(ISNA(INDEX(INDIRECT(UK27),MATCH(BeweglichkeitGerundet[[#This Row],[Rundung]],INDIRECT(UK27),UK$18))),IF(UK$18=-1,LARGE(INDIRECT(UK27),1),SMALL(INDIRECT(UK27),1)),INDEX(INDIRECT(UK27),MATCH(BeweglichkeitGerundet[[#This Row],[Rundung]],INDIRECT(UK27),UK$18)))))</f>
        <v/>
      </c>
      <c r="UN27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7" s="36" t="str">
        <f ca="1">IF(OR(UK27="",BeweglichkeitSkalawert[[#This Row],[Skala-Wert]]=Stammdaten!$AX$19),"",INDEX(INDIRECT(UN27),MATCH(BeweglichkeitSkalawert[[#This Row],[Skala-Wert]],INDIRECT(UK27),0)))</f>
        <v/>
      </c>
      <c r="UP27" s="31"/>
      <c r="UQ27" s="597"/>
      <c r="UR27" s="190"/>
      <c r="US27" s="587">
        <f>IF(US$16,IF(UT$16=0.5,MROUND(RumpfkraftResultat[[#This Row],[Resultat]],UT$16),ROUND(RumpfkraftResultat[[#This Row],[Resultat]],UT$16)),ROUNDDOWN(RumpfkraftResultat[[#This Row],[Resultat]],UT$16))</f>
        <v>0</v>
      </c>
      <c r="UT27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7" s="192" t="str">
        <f ca="1">IF(UT27="","",IF(OR(RumpfkraftResultat[[#This Row],[Resultat]]=Stammdaten!$AX$22,RumpfkraftResultat[[#This Row],[Resultat]]=Stammdaten!$AX$19),Stammdaten!$AX$19,IF(ISNA(INDEX(INDIRECT(UT27),MATCH(RumpfkraftGerundet[[#This Row],[Rundung]],INDIRECT(UT27),UT$18))),IF(UT$18=-1,LARGE(INDIRECT(UT27),1),SMALL(INDIRECT(UT27),1)),INDEX(INDIRECT(UT27),MATCH(RumpfkraftGerundet[[#This Row],[Rundung]],INDIRECT(UT27),UT$18)))))</f>
        <v/>
      </c>
      <c r="UW27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7" s="36" t="str">
        <f ca="1">IF(OR(UT27="",RumpfkraftSkalawert[[#This Row],[Skala-Wert]]=Stammdaten!$AX$19),"",INDEX(INDIRECT(UW27),MATCH(RumpfkraftSkalawert[[#This Row],[Skala-Wert]],INDIRECT(UT27),0)))</f>
        <v/>
      </c>
      <c r="UY27" s="31"/>
      <c r="UZ27" s="190" t="str">
        <f>IF(SechzigmLaufResultat[[#This Row],[Resultat]]=0,"",SechzigmLaufResultat[[#This Row],[Resultat]])</f>
        <v/>
      </c>
      <c r="VA27" s="190"/>
      <c r="VB27" s="45" t="str">
        <f ca="1">SechzigmLaufSkalawert[[#This Row],[Skala-Wert]]</f>
        <v/>
      </c>
      <c r="VD27" s="31" t="str">
        <f ca="1">SechzigmLaufNote[[#This Row],[Note]]</f>
        <v/>
      </c>
      <c r="VE27" s="31"/>
      <c r="VF27" s="190" t="str">
        <f>IF(AchtzigmLaufResultat[[#This Row],[Resultat]]=0,"",AchtzigmLaufResultat[[#This Row],[Resultat]])</f>
        <v/>
      </c>
      <c r="VG27" s="190"/>
      <c r="VH27" s="45" t="str">
        <f ca="1">AchtzigmLaufSkalawert[[#This Row],[Skala-Wert]]</f>
        <v/>
      </c>
      <c r="VJ27" s="31" t="str">
        <f ca="1">AchtzigmLaufNote[[#This Row],[Note]]</f>
        <v/>
      </c>
      <c r="VK27" s="31"/>
      <c r="VL27" s="37"/>
      <c r="VM27" s="190"/>
      <c r="VN27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7" s="191" t="str">
        <f>IF(OR(Geschlecht[[#This Row],[Geschlecht (Skala)]]="",VL$16=""),"",MID(Geschlecht[[#This Row],[Geschlecht (Skala)]],1,1)&amp;MID(VL$16,1,1))</f>
        <v/>
      </c>
      <c r="VP27" s="190" t="str">
        <f>IF(OR(VO27="",KonditionsparcoursResultat[[#This Row],[Resultat]]=""),"",REPLACE(INDEX(StdDisziplinen[TabÜberschriftResultat],VL$3),FIND("X",INDEX(StdDisziplinen[TabÜberschriftResultat],VL$3),1),2,VO27))</f>
        <v/>
      </c>
      <c r="VQ27" s="192" t="str">
        <f ca="1">IF(VP27="","",IF(OR(KonditionsparcoursResultat[[#This Row],[Resultat]]=Stammdaten!$AX$22,KonditionsparcoursResultat[[#This Row],[Resultat]]=Stammdaten!$AX$19),Stammdaten!$AX$19,IF(ISNA(INDEX(INDIRECT(VP27),MATCH(KonditionsparcoursGerundet[[#This Row],[Rundung]],INDIRECT(VP27),VP$18))),IF(VP$18=-1,LARGE(INDIRECT(VP27),1),SMALL(INDIRECT(VP27),1)),INDEX(INDIRECT(VP27),MATCH(KonditionsparcoursGerundet[[#This Row],[Rundung]],INDIRECT(VP27),VP$18)))))</f>
        <v/>
      </c>
      <c r="VS27" s="18" t="str">
        <f ca="1">IF(KonditionsparcoursSkalawert[[#This Row],[Skala-Wert]]="","",REPLACE(INDEX(StdDisziplinen[TabÜberschriftNote],VL$3),FIND("X",INDEX(StdDisziplinen[TabÜberschriftNote],VL$3),1),2,VO27))</f>
        <v/>
      </c>
      <c r="VT27" s="31" t="str">
        <f ca="1">IF(OR(VS27="",KonditionsparcoursSkalawert[[#This Row],[Skala-Wert]]=Stammdaten!$AX$19),"",INDEX(INDIRECT(VS27),MATCH(KonditionsparcoursSkalawert[[#This Row],[Skala-Wert]],INDIRECT(VP27),0)))</f>
        <v/>
      </c>
      <c r="VU27" s="22"/>
    </row>
    <row r="28" spans="1:593" x14ac:dyDescent="0.3">
      <c r="A28" s="30">
        <v>10</v>
      </c>
      <c r="B28" s="589"/>
      <c r="C28" s="589"/>
      <c r="E28" s="591"/>
      <c r="G28" s="37"/>
      <c r="H28" s="190"/>
      <c r="I28" s="154">
        <f>IF(I$16,IF(J$16=0.5,MROUND(SechzigmLaufResultat[[#This Row],[Resultat]],J$16),ROUND(SechzigmLaufResultat[[#This Row],[Resultat]],J$16)),ROUNDDOWN(SechzigmLaufResultat[[#This Row],[Resultat]],J$16))</f>
        <v>0</v>
      </c>
      <c r="J28" s="191" t="str">
        <f>IF(OR(Geschlecht[[#This Row],[Geschlecht (Skala)]]="",G$16=""),"",MID(Geschlecht[[#This Row],[Geschlecht (Skala)]],1,1)&amp;MID(G$16,1,1))</f>
        <v/>
      </c>
      <c r="K28" s="190" t="str">
        <f>IF(OR(J28="",SechzigmLaufResultat[[#This Row],[Resultat]]=""),"",REPLACE(INDEX(StdDisziplinen[TabÜberschriftResultat],G$3),FIND("X",INDEX(StdDisziplinen[TabÜberschriftResultat],G$3),1),2,J28))</f>
        <v/>
      </c>
      <c r="L28" s="45" t="str">
        <f ca="1">IF(K28="","",IF(OR(SechzigmLaufResultat[[#This Row],[Resultat]]=Stammdaten!$AX$22,SechzigmLaufResultat[[#This Row],[Resultat]]=Stammdaten!$AX$19),Stammdaten!$AX$19,IF(ISNA(INDEX(INDIRECT(K28),MATCH(SechzigmLaufGerundet[[#This Row],[Rundung]],INDIRECT(K28),K$18))),IF(K$18=-1,LARGE(INDIRECT(K28),1),SMALL(INDIRECT(K28),1)),INDEX(INDIRECT(K28),MATCH(SechzigmLaufGerundet[[#This Row],[Rundung]],INDIRECT(K28),K$18)))))</f>
        <v/>
      </c>
      <c r="N28" s="18" t="str">
        <f ca="1">IF(SechzigmLaufSkalawert[[#This Row],[Skala-Wert]]="","",REPLACE(INDEX(StdDisziplinen[TabÜberschriftNote],G$3),FIND("X",INDEX(StdDisziplinen[TabÜberschriftNote],G$3),1),2,J28))</f>
        <v/>
      </c>
      <c r="O28" s="31" t="str">
        <f ca="1">IF(OR(N28="",SechzigmLaufSkalawert[[#This Row],[Skala-Wert]]=Stammdaten!$AX$19),"",INDEX(INDIRECT(N28),MATCH(SechzigmLaufSkalawert[[#This Row],[Skala-Wert]],INDIRECT(K28),0)))</f>
        <v/>
      </c>
      <c r="P28" s="31"/>
      <c r="Q28" s="37"/>
      <c r="R28" s="190"/>
      <c r="S28" s="154">
        <f>IF(S$16,IF(T$16=0.5,MROUND(AchtzigmLaufResultat[[#This Row],[Resultat]],T$16),ROUND(AchtzigmLaufResultat[[#This Row],[Resultat]],T$16)),ROUNDDOWN(AchtzigmLaufResultat[[#This Row],[Resultat]],T$16))</f>
        <v>0</v>
      </c>
      <c r="T28" s="191" t="str">
        <f>IF(OR(Geschlecht[[#This Row],[Geschlecht (Skala)]]="",Q$16=""),"",MID(Geschlecht[[#This Row],[Geschlecht (Skala)]],1,1)&amp;MID(Q$16,1,1))</f>
        <v/>
      </c>
      <c r="U28" s="190" t="str">
        <f>IF(OR(T28="",AchtzigmLaufResultat[[#This Row],[Resultat]]=""),"",REPLACE(INDEX(StdDisziplinen[TabÜberschriftResultat],Q$3),FIND("X",INDEX(StdDisziplinen[TabÜberschriftResultat],Q$3),1),2,T28))</f>
        <v/>
      </c>
      <c r="V28" s="45" t="str">
        <f ca="1">IF(U28="","",IF(OR(AchtzigmLaufResultat[[#This Row],[Resultat]]=Stammdaten!$AX$22,AchtzigmLaufResultat[[#This Row],[Resultat]]=Stammdaten!$AX$19),Stammdaten!$AX$19,IF(ISNA(INDEX(INDIRECT(U28),MATCH(AchtzigmLaufGerundet[[#This Row],[Rundung]],INDIRECT(U28),U$18))),IF(U$18=-1,LARGE(INDIRECT(U28),1),SMALL(INDIRECT(U28),1)),INDEX(INDIRECT(U28),MATCH(AchtzigmLaufGerundet[[#This Row],[Rundung]],INDIRECT(U28),U$18)))))</f>
        <v/>
      </c>
      <c r="X28" s="18" t="str">
        <f ca="1">IF(AchtzigmLaufSkalawert[[#This Row],[Skala-Wert]]="","",REPLACE(INDEX(StdDisziplinen[TabÜberschriftNote],Q$3),FIND("X",INDEX(StdDisziplinen[TabÜberschriftNote],Q$3),1),2,T28))</f>
        <v/>
      </c>
      <c r="Y28" s="31" t="str">
        <f ca="1">IF(OR(X28="",AchtzigmLaufSkalawert[[#This Row],[Skala-Wert]]=Stammdaten!$AX$19),"",INDEX(INDIRECT(X28),MATCH(AchtzigmLaufSkalawert[[#This Row],[Skala-Wert]],INDIRECT(U28),0)))</f>
        <v/>
      </c>
      <c r="Z28" s="31"/>
      <c r="AA28" s="37"/>
      <c r="AB28" s="190"/>
      <c r="AC28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8" s="191" t="str">
        <f>IF(OR(Geschlecht[[#This Row],[Geschlecht (Skala)]]="",AA$16=""),"",MID(Geschlecht[[#This Row],[Geschlecht (Skala)]],1,1)&amp;MID(AA$16,1,1))</f>
        <v/>
      </c>
      <c r="AE28" s="190" t="str">
        <f>IF(OR(AD28="",ZwölfMinLaufHalleResultat[[#This Row],[Resultat]]=""),"",REPLACE(INDEX(StdDisziplinen[TabÜberschriftResultat],AA$3),FIND("X",INDEX(StdDisziplinen[TabÜberschriftResultat],AA$3),1),2,AD28))</f>
        <v/>
      </c>
      <c r="AF28" s="31" t="str">
        <f ca="1">IF(AE28="","",IF(OR(ZwölfMinLaufHalleResultat[[#This Row],[Resultat]]=Stammdaten!$AX$22,ZwölfMinLaufHalleResultat[[#This Row],[Resultat]]=Stammdaten!$AX$19),Stammdaten!$AX$19,IF(ISNA(INDEX(INDIRECT(AE28),MATCH(ZwölfMinLaufHalleGerundet[[#This Row],[Rundung]],INDIRECT(AE28),AE$18))),IF(AE$18=-1,LARGE(INDIRECT(AE28),1),SMALL(INDIRECT(AE28),1)),INDEX(INDIRECT(AE28),MATCH(ZwölfMinLaufHalleGerundet[[#This Row],[Rundung]],INDIRECT(AE28),AE$18)))))</f>
        <v/>
      </c>
      <c r="AH28" s="18" t="str">
        <f ca="1">IF(ZwölfMinLaufHalleSkalawert[[#This Row],[Skala-Wert]]="","",REPLACE(INDEX(StdDisziplinen[TabÜberschriftNote],AA$3),FIND("X",INDEX(StdDisziplinen[TabÜberschriftNote],AA$3),1),2,AD28))</f>
        <v/>
      </c>
      <c r="AI28" s="31" t="str">
        <f ca="1">IF(OR(AH28="",ZwölfMinLaufHalleSkalawert[[#This Row],[Skala-Wert]]=Stammdaten!$AX$19),"",INDEX(INDIRECT(AH28),MATCH(ZwölfMinLaufHalleSkalawert[[#This Row],[Skala-Wert]],INDIRECT(AE28),0)))</f>
        <v/>
      </c>
      <c r="AJ28" s="31"/>
      <c r="AK28" s="597"/>
      <c r="AL28" s="190"/>
      <c r="AM28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8" s="191" t="str">
        <f>IF(OR(Geschlecht[[#This Row],[Geschlecht (Skala)]]="",AK$16=""),"",MID(Geschlecht[[#This Row],[Geschlecht (Skala)]],1,1)&amp;MID(AK$16,1,1))</f>
        <v/>
      </c>
      <c r="AO28" s="190" t="str">
        <f>IF(OR(AN28="",ZwölfMinLaufimFreienResultat[[#This Row],[Resultat]]=""),"",REPLACE(INDEX(StdDisziplinen[TabÜberschriftResultat],AK$3),FIND("X",INDEX(StdDisziplinen[TabÜberschriftResultat],AK$3),1),2,AN28))</f>
        <v/>
      </c>
      <c r="AP28" s="192" t="str">
        <f ca="1">IF(AO28="","",IF(OR(ZwölfMinLaufimFreienResultat[[#This Row],[Resultat]]=Stammdaten!$AX$22,ZwölfMinLaufimFreienResultat[[#This Row],[Resultat]]=Stammdaten!$AX$19),Stammdaten!$AX$19,IF(ISNA(INDEX(INDIRECT(AO28),MATCH(ZwölfMinLaufimFreienGerundet[[#This Row],[Rundung]],INDIRECT(AO28),AO$18))),IF(AO$18=-1,LARGE(INDIRECT(AO28),1),SMALL(INDIRECT(AO28),1)),INDEX(INDIRECT(AO28),MATCH(ZwölfMinLaufimFreienGerundet[[#This Row],[Rundung]],INDIRECT(AO28),AO$18)))))</f>
        <v/>
      </c>
      <c r="AR28" s="18" t="str">
        <f ca="1">IF(ZwölfMinLaufimFreienSkalawert[[#This Row],[Skala-Wert]]="","",REPLACE(INDEX(StdDisziplinen[TabÜberschriftNote],AK$3),FIND("X",INDEX(StdDisziplinen[TabÜberschriftNote],AK$3),1),2,AN28))</f>
        <v/>
      </c>
      <c r="AS28" s="31" t="str">
        <f ca="1">IF(OR(AR28="",ZwölfMinLaufimFreienSkalawert[[#This Row],[Skala-Wert]]=Stammdaten!$AX$19),"",INDEX(INDIRECT(AR28),MATCH(ZwölfMinLaufimFreienSkalawert[[#This Row],[Skala-Wert]],INDIRECT(AO28),0)))</f>
        <v/>
      </c>
      <c r="AT28" s="31"/>
      <c r="AU28" s="597"/>
      <c r="AV28" s="190"/>
      <c r="AW28" s="587">
        <f>IF(AW$16,IF(AX$16=0.5,MROUND(HochsprungResultat[[#This Row],[Resultat]],AX$16),ROUND(HochsprungResultat[[#This Row],[Resultat]],AX$16)),ROUNDDOWN(HochsprungResultat[[#This Row],[Resultat]],AX$16))</f>
        <v>0</v>
      </c>
      <c r="AX28" s="191" t="str">
        <f>IF(OR(Geschlecht[[#This Row],[Geschlecht (Skala)]]="",AU$16=""),"",MID(Geschlecht[[#This Row],[Geschlecht (Skala)]],1,1)&amp;MID(AU$16,1,1))</f>
        <v/>
      </c>
      <c r="AY28" s="190" t="str">
        <f>IF(OR(AX28="",HochsprungResultat[[#This Row],[Resultat]]=""),"",REPLACE(INDEX(StdDisziplinen[TabÜberschriftResultat],AU$3),FIND("X",INDEX(StdDisziplinen[TabÜberschriftResultat],AU$3),1),2,AX28))</f>
        <v/>
      </c>
      <c r="AZ28" s="192" t="str">
        <f ca="1">IF(AY28="","",IF(OR(HochsprungResultat[[#This Row],[Resultat]]=Stammdaten!$AX$22,HochsprungResultat[[#This Row],[Resultat]]=Stammdaten!$AX$19),Stammdaten!$AX$19,IF(ISNA(INDEX(INDIRECT(AY28),MATCH(HochsprungGerundet[[#This Row],[Rundung]],INDIRECT(AY28),AY$18))),IF(AY$18=-1,LARGE(INDIRECT(AY28),1),SMALL(INDIRECT(AY28),1)),INDEX(INDIRECT(AY28),MATCH(HochsprungGerundet[[#This Row],[Rundung]],INDIRECT(AY28),AY$18)))))</f>
        <v/>
      </c>
      <c r="BB28" s="18" t="str">
        <f ca="1">IF(HochsprungSkalawert[[#This Row],[Skala-Wert]]="","",REPLACE(INDEX(StdDisziplinen[TabÜberschriftNote],AU$3),FIND("X",INDEX(StdDisziplinen[TabÜberschriftNote],AU$3),1),2,AX28))</f>
        <v/>
      </c>
      <c r="BC28" s="31" t="str">
        <f ca="1">IF(OR(BB28="",HochsprungSkalawert[[#This Row],[Skala-Wert]]=Stammdaten!$AX$19),"",INDEX(INDIRECT(BB28),MATCH(HochsprungSkalawert[[#This Row],[Skala-Wert]],INDIRECT(AY28),0)))</f>
        <v/>
      </c>
      <c r="BD28" s="31"/>
      <c r="BE28" s="597"/>
      <c r="BF28" s="190"/>
      <c r="BG28" s="587">
        <f>IF(BG$16,IF(BH$16=0.5,MROUND(WeitsprungResultat[[#This Row],[Resultat]],BH$16),ROUND(WeitsprungResultat[[#This Row],[Resultat]],BH$16)),ROUNDDOWN(WeitsprungResultat[[#This Row],[Resultat]],BH$16))</f>
        <v>0</v>
      </c>
      <c r="BH28" s="191" t="str">
        <f>IF(OR(Geschlecht[[#This Row],[Geschlecht (Skala)]]="",BE$16=""),"",MID(Geschlecht[[#This Row],[Geschlecht (Skala)]],1,1)&amp;MID(BE$16,1,1))</f>
        <v/>
      </c>
      <c r="BI28" s="190" t="str">
        <f>IF(OR(BH28="",WeitsprungResultat[[#This Row],[Resultat]]=""),"",REPLACE(INDEX(StdDisziplinen[TabÜberschriftResultat],BE$3),FIND("X",INDEX(StdDisziplinen[TabÜberschriftResultat],BE$3),1),2,BH28))</f>
        <v/>
      </c>
      <c r="BJ28" s="192" t="str">
        <f ca="1">IF(BI28="","",IF(OR(WeitsprungResultat[[#This Row],[Resultat]]=Stammdaten!$AX$22,WeitsprungResultat[[#This Row],[Resultat]]=Stammdaten!$AX$19),Stammdaten!$AX$19,IF(ISNA(INDEX(INDIRECT(BI28),MATCH(WeitsprungGerundet[[#This Row],[Rundung]],INDIRECT(BI28),BI$18))),IF(BI$18=-1,LARGE(INDIRECT(BI28),1),SMALL(INDIRECT(BI28),1)),INDEX(INDIRECT(BI28),MATCH(WeitsprungGerundet[[#This Row],[Rundung]],INDIRECT(BI28),BI$18)))))</f>
        <v/>
      </c>
      <c r="BL28" s="18" t="str">
        <f ca="1">IF(WeitsprungSkalawert[[#This Row],[Skala-Wert]]="","",REPLACE(INDEX(StdDisziplinen[TabÜberschriftNote],BE$3),FIND("X",INDEX(StdDisziplinen[TabÜberschriftNote],BE$3),1),2,BH28))</f>
        <v/>
      </c>
      <c r="BM28" s="31" t="str">
        <f ca="1">IF(OR(BL28="",WeitsprungSkalawert[[#This Row],[Skala-Wert]]=Stammdaten!$AX$19),"",INDEX(INDIRECT(BL28),MATCH(WeitsprungSkalawert[[#This Row],[Skala-Wert]],INDIRECT(BI28),0)))</f>
        <v/>
      </c>
      <c r="BN28" s="31"/>
      <c r="BO28" s="37"/>
      <c r="BP28" s="190"/>
      <c r="BQ28" s="154">
        <f>IF(BQ$16,IF(BR$16=0.5,MROUND(BallwurfResultat[[#This Row],[Resultat]],BR$16),ROUND(BallwurfResultat[[#This Row],[Resultat]],BR$16)),ROUNDDOWN(BallwurfResultat[[#This Row],[Resultat]],BR$16))</f>
        <v>0</v>
      </c>
      <c r="BR28" s="191" t="str">
        <f>IF(OR(Geschlecht[[#This Row],[Geschlecht (Skala)]]="",BO$16=""),"",MID(Geschlecht[[#This Row],[Geschlecht (Skala)]],1,1)&amp;MID(BO$16,1,1))</f>
        <v/>
      </c>
      <c r="BS28" s="190" t="str">
        <f>IF(OR(BR28="",BallwurfResultat[[#This Row],[Resultat]]=""),"",REPLACE(INDEX(StdDisziplinen[TabÜberschriftResultat],BO$3),FIND("X",INDEX(StdDisziplinen[TabÜberschriftResultat],BO$3),1),2,BR28))</f>
        <v/>
      </c>
      <c r="BT28" s="45" t="str">
        <f ca="1">IF(BS28="","",IF(OR(BallwurfResultat[[#This Row],[Resultat]]=Stammdaten!$AX$22,BallwurfResultat[[#This Row],[Resultat]]=Stammdaten!$AX$19),Stammdaten!$AX$19,IF(ISNA(INDEX(INDIRECT(BS28),MATCH(BallwurfGerundet[[#This Row],[Rundung]],INDIRECT(BS28),BS$18))),IF(BS$18=-1,LARGE(INDIRECT(BS28),1),SMALL(INDIRECT(BS28),1)),INDEX(INDIRECT(BS28),MATCH(BallwurfGerundet[[#This Row],[Rundung]],INDIRECT(BS28),BS$18)))))</f>
        <v/>
      </c>
      <c r="BV28" s="18" t="str">
        <f ca="1">IF(BallwurfSkalawert[[#This Row],[Skala-Wert]]="","",REPLACE(INDEX(StdDisziplinen[TabÜberschriftNote],BO$3),FIND("X",INDEX(StdDisziplinen[TabÜberschriftNote],BO$3),1),2,BR28))</f>
        <v/>
      </c>
      <c r="BW28" s="31" t="str">
        <f ca="1">IF(OR(BV28="",BallwurfSkalawert[[#This Row],[Skala-Wert]]=Stammdaten!$AX$19),"",INDEX(INDIRECT(BV28),MATCH(BallwurfSkalawert[[#This Row],[Skala-Wert]],INDIRECT(BS28),0)))</f>
        <v/>
      </c>
      <c r="BX28" s="31"/>
      <c r="BY28" s="598"/>
      <c r="BZ28" s="190"/>
      <c r="CA28" s="154">
        <f>IF(CA$16,IF(CB$16=0.5,MROUND(KugelstossenResultat[[#This Row],[Resultat]],CB$16),ROUND(KugelstossenResultat[[#This Row],[Resultat]],CB$16)),ROUNDDOWN(KugelstossenResultat[[#This Row],[Resultat]],CB$16))</f>
        <v>0</v>
      </c>
      <c r="CB28" s="191" t="str">
        <f>IF(OR(Geschlecht[[#This Row],[Geschlecht (Skala)]]="",BY$16=""),"",MID(Geschlecht[[#This Row],[Geschlecht (Skala)]],1,1)&amp;MID(BY$16,1,1))</f>
        <v/>
      </c>
      <c r="CC28" s="190" t="str">
        <f>IF(OR(CB28="",KugelstossenResultat[[#This Row],[Resultat]]=""),"",REPLACE(INDEX(StdDisziplinen[TabÜberschriftResultat],BY$3),FIND("X",INDEX(StdDisziplinen[TabÜberschriftResultat],BY$3),1),2,CB28))</f>
        <v/>
      </c>
      <c r="CD28" s="45" t="str">
        <f ca="1">IF(CC28="","",IF(OR(KugelstossenResultat[[#This Row],[Resultat]]=Stammdaten!$AX$22,KugelstossenResultat[[#This Row],[Resultat]]=Stammdaten!$AX$19),Stammdaten!$AX$19,IF(ISNA(INDEX(INDIRECT(CC28),MATCH(KugelstossenGerundet[[#This Row],[Rundung]],INDIRECT(CC28),CC$18))),IF(CC$18=-1,LARGE(INDIRECT(CC28),1),SMALL(INDIRECT(CC28),1)),INDEX(INDIRECT(CC28),MATCH(KugelstossenGerundet[[#This Row],[Rundung]],INDIRECT(CC28),CC$18)))))</f>
        <v/>
      </c>
      <c r="CF28" s="18" t="str">
        <f ca="1">IF(KugelstossenSkalawert[[#This Row],[Skala-Wert]]="","",REPLACE(INDEX(StdDisziplinen[TabÜberschriftNote],BY$3),FIND("X",INDEX(StdDisziplinen[TabÜberschriftNote],BY$3),1),2,CB28))</f>
        <v/>
      </c>
      <c r="CG28" s="31" t="str">
        <f ca="1">IF(OR(CF28="",KugelstossenSkalawert[[#This Row],[Skala-Wert]]=Stammdaten!$AX$19),"",INDEX(INDIRECT(CF28),MATCH(KugelstossenSkalawert[[#This Row],[Skala-Wert]],INDIRECT(CC28),0)))</f>
        <v/>
      </c>
      <c r="CH28" s="31"/>
      <c r="CI28" s="37"/>
      <c r="CJ28" s="190"/>
      <c r="CK28" s="154">
        <f>IF(CK$16,IF(CL$16=0.5,MROUND(SpeerwurfResultat[[#This Row],[Resultat]],CL$16),ROUND(SpeerwurfResultat[[#This Row],[Resultat]],CL$16)),ROUNDDOWN(SpeerwurfResultat[[#This Row],[Resultat]],CL$16))</f>
        <v>0</v>
      </c>
      <c r="CL28" s="191" t="str">
        <f>IF(OR(Geschlecht[[#This Row],[Geschlecht (Skala)]]="",CI$16=""),"",MID(Geschlecht[[#This Row],[Geschlecht (Skala)]],1,1)&amp;MID(CI$16,1,1))</f>
        <v/>
      </c>
      <c r="CM28" s="190" t="str">
        <f>IF(OR(CL28="",SpeerwurfResultat[[#This Row],[Resultat]]=""),"",REPLACE(INDEX(StdDisziplinen[TabÜberschriftResultat],CI$3),FIND("X",INDEX(StdDisziplinen[TabÜberschriftResultat],CI$3),1),2,CL28))</f>
        <v/>
      </c>
      <c r="CN28" s="45" t="str">
        <f ca="1">IF(CM28="","",IF(OR(SpeerwurfResultat[[#This Row],[Resultat]]=Stammdaten!$AX$22,SpeerwurfResultat[[#This Row],[Resultat]]=Stammdaten!$AX$19),Stammdaten!$AX$19,IF(ISNA(INDEX(INDIRECT(CM28),MATCH(SpeerwurfGerundet[[#This Row],[Rundung]],INDIRECT(CM28),CM$18))),IF(CM$18=-1,LARGE(INDIRECT(CM28),1),SMALL(INDIRECT(CM28),1)),INDEX(INDIRECT(CM28),MATCH(SpeerwurfGerundet[[#This Row],[Rundung]],INDIRECT(CM28),CM$18)))))</f>
        <v/>
      </c>
      <c r="CP28" s="18" t="str">
        <f ca="1">IF(SpeerwurfSkalawert[[#This Row],[Skala-Wert]]="","",REPLACE(INDEX(StdDisziplinen[TabÜberschriftNote],CI$3),FIND("X",INDEX(StdDisziplinen[TabÜberschriftNote],CI$3),1),2,CL28))</f>
        <v/>
      </c>
      <c r="CQ28" s="31" t="str">
        <f ca="1">IF(OR(CP28="",SpeerwurfSkalawert[[#This Row],[Skala-Wert]]=Stammdaten!$AX$19),"",INDEX(INDIRECT(CP28),MATCH(SpeerwurfSkalawert[[#This Row],[Skala-Wert]],INDIRECT(CM28),0)))</f>
        <v/>
      </c>
      <c r="CR28" s="31"/>
      <c r="CS28" s="31" t="str">
        <f t="shared" ca="1" si="50"/>
        <v/>
      </c>
      <c r="CT28" s="31" t="str">
        <f t="shared" ca="1" si="50"/>
        <v/>
      </c>
      <c r="CU28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Row],[Skala-Wert]])&gt;0,MAX(CS28:CT28),99))</f>
        <v>Keine Note</v>
      </c>
      <c r="CV28" s="202" t="str">
        <f t="shared" ca="1" si="51"/>
        <v/>
      </c>
      <c r="CW28" s="202" t="str">
        <f ca="1">IF(CV28=$A$2,CS$10&amp;Stammdaten!$AX$25,IF(CU28=INDEX(StdFehler[],3),CS$10&amp;Stammdaten!$AX$27,INDEX(INDIRECT($B$4),MATCH(CV28,INDIRECT($B$5),0))))</f>
        <v>Sprintdisziplinen nicht durchgeführt</v>
      </c>
      <c r="CX28" s="202" t="str">
        <f ca="1">IFERROR(INDEX(INDIRECT(CX$12),MATCH(CV28,StdDisziplinen[ID],0)),"")</f>
        <v/>
      </c>
      <c r="CY28" s="202" t="e">
        <f t="shared" ca="1" si="52"/>
        <v>#N/A</v>
      </c>
      <c r="CZ28" s="202" t="e">
        <f t="shared" ca="1" si="53"/>
        <v>#N/A</v>
      </c>
      <c r="DA28" s="98" t="str">
        <f t="shared" ca="1" si="223"/>
        <v/>
      </c>
      <c r="DB28" s="202" t="e">
        <f t="shared" ca="1" si="54"/>
        <v>#N/A</v>
      </c>
      <c r="DC28" s="202" t="str">
        <f t="shared" ca="1" si="55"/>
        <v/>
      </c>
      <c r="DD28" s="31" t="str">
        <f t="shared" ca="1" si="56"/>
        <v/>
      </c>
      <c r="DE28" s="31" t="str">
        <f t="shared" ca="1" si="56"/>
        <v/>
      </c>
      <c r="DF28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Row],[Skala-Wert]])&gt;0,MAX(DD28:DE28),99))</f>
        <v>Keine Note</v>
      </c>
      <c r="DG28" s="202" t="str">
        <f t="shared" ca="1" si="57"/>
        <v/>
      </c>
      <c r="DH28" s="202" t="str">
        <f ca="1">IF(DG28=$A$2,DD$10&amp;Stammdaten!$AX$25,IF(DF28=INDEX(StdFehler[],3),DD$10&amp;Stammdaten!$AX$27,INDEX(INDIRECT($B$4),MATCH(DG28,INDIRECT($B$5),0))))</f>
        <v>Ausdauerdisziplinen nicht durchgeführt</v>
      </c>
      <c r="DI28" s="202" t="str">
        <f ca="1">IFERROR(INDEX(INDIRECT(DI$12),MATCH(DG28,StdDisziplinen[ID],0)),"")</f>
        <v/>
      </c>
      <c r="DJ28" s="202" t="e">
        <f t="shared" ca="1" si="58"/>
        <v>#N/A</v>
      </c>
      <c r="DK28" s="202" t="e">
        <f t="shared" ca="1" si="59"/>
        <v>#N/A</v>
      </c>
      <c r="DL28" s="96" t="str">
        <f t="shared" ca="1" si="60"/>
        <v/>
      </c>
      <c r="DM28" s="202" t="e">
        <f t="shared" ca="1" si="61"/>
        <v>#N/A</v>
      </c>
      <c r="DN28" s="202" t="str">
        <f t="shared" ca="1" si="62"/>
        <v/>
      </c>
      <c r="DO28" s="31" t="str">
        <f t="shared" ca="1" si="63"/>
        <v/>
      </c>
      <c r="DP28" s="31" t="str">
        <f t="shared" ca="1" si="63"/>
        <v/>
      </c>
      <c r="DQ28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Row],[Skala-Wert]])&gt;0,MAX(DO28:DP28),99))</f>
        <v>Keine Note</v>
      </c>
      <c r="DR28" s="202" t="str">
        <f t="shared" ca="1" si="64"/>
        <v/>
      </c>
      <c r="DS28" s="202" t="str">
        <f ca="1">IF(DR28=$A$2,DO$10&amp;Stammdaten!$AX$25,IF(DQ28=INDEX(StdFehler[],3),DO$10&amp;Stammdaten!$AX$27,INDEX(INDIRECT($B$4),MATCH(DR28,INDIRECT($B$5),0))))</f>
        <v>Sprungdisziplinen nicht durchgeführt</v>
      </c>
      <c r="DT28" s="202" t="str">
        <f ca="1">IFERROR(INDEX(INDIRECT(DT$12),MATCH(DR28,StdDisziplinen[ID],0)),"")</f>
        <v/>
      </c>
      <c r="DU28" s="202" t="e">
        <f t="shared" ca="1" si="65"/>
        <v>#N/A</v>
      </c>
      <c r="DV28" s="202" t="e">
        <f t="shared" ca="1" si="66"/>
        <v>#N/A</v>
      </c>
      <c r="DW28" s="202" t="str">
        <f t="shared" ca="1" si="67"/>
        <v/>
      </c>
      <c r="DX28" s="202" t="e">
        <f t="shared" ca="1" si="68"/>
        <v>#N/A</v>
      </c>
      <c r="DY28" s="202" t="str">
        <f t="shared" ca="1" si="69"/>
        <v/>
      </c>
      <c r="DZ28" s="31" t="str">
        <f ca="1">IF(BallwurfSkalawert[[#This Row],[Skala-Wert]]=$A$3,$A$2,IF(ISNUMBER(BallwurfSkalawert[[#This Row],[Skala-Wert]]),BallwurfNote[[#This Row],[Note]],"!"))</f>
        <v>!</v>
      </c>
      <c r="EA28" s="31" t="str">
        <f ca="1">IF(KugelstossenSkalawert[[#This Row],[Skala-Wert]]=$A$3,$A$2,IF(ISNUMBER(KugelstossenSkalawert[[#This Row],[Skala-Wert]]),KugelstossenNote[[#This Row],[Note]],"!"))</f>
        <v>!</v>
      </c>
      <c r="EB28" s="31" t="str">
        <f ca="1">IF(SpeerwurfSkalawert[[#This Row],[Skala-Wert]]=$A$3,$A$2,IF(ISNUMBER(SpeerwurfSkalawert[[#This Row],[Skala-Wert]]),SpeerwurfNote[[#This Row],[Note]],"!"))</f>
        <v>!</v>
      </c>
      <c r="EC28" s="95" t="str">
        <f ca="1">IF(ED28&gt;0,MAX(DZ28:EB28),IF(EE28&gt;0,99,INDEX(StdFehler[StdFehler],3)))</f>
        <v>Keine Note</v>
      </c>
      <c r="ED28" s="202">
        <f t="shared" ca="1" si="70"/>
        <v>0</v>
      </c>
      <c r="EE28" s="202">
        <f t="shared" ca="1" si="71"/>
        <v>0</v>
      </c>
      <c r="EF28" s="202" t="str">
        <f t="shared" ca="1" si="72"/>
        <v/>
      </c>
      <c r="EG28" s="202" t="str">
        <f ca="1">IF(EF28=$A$2,DZ$10&amp;Stammdaten!$AX$25,IF(EC28=INDEX(StdFehler[],3),DZ$10&amp;Stammdaten!$AX$27,INDEX(INDIRECT($B$4),MATCH(EF28,INDIRECT($B$5),0))))</f>
        <v>Wurfdisziplinen nicht durchgeführt</v>
      </c>
      <c r="EH28" s="202" t="str">
        <f ca="1">IFERROR(INDEX(INDIRECT(EH$12),MATCH(EF28,StdDisziplinen[ID],0)),"")</f>
        <v/>
      </c>
      <c r="EI28" s="202" t="e">
        <f t="shared" ca="1" si="73"/>
        <v>#N/A</v>
      </c>
      <c r="EJ28" s="202" t="e">
        <f t="shared" ca="1" si="74"/>
        <v>#N/A</v>
      </c>
      <c r="EK28" s="98" t="str">
        <f t="shared" ca="1" si="75"/>
        <v/>
      </c>
      <c r="EL28" s="202" t="e">
        <f t="shared" ca="1" si="76"/>
        <v>#N/A</v>
      </c>
      <c r="EM28" s="202" t="str">
        <f t="shared" ca="1" si="77"/>
        <v/>
      </c>
      <c r="EN28" s="200">
        <f t="shared" ca="1" si="1"/>
        <v>0</v>
      </c>
      <c r="EO28" s="202">
        <f t="shared" ca="1" si="78"/>
        <v>0</v>
      </c>
      <c r="EP28" s="96">
        <f t="shared" ca="1" si="2"/>
        <v>0</v>
      </c>
      <c r="EQ28" s="96">
        <f t="shared" ca="1" si="3"/>
        <v>0</v>
      </c>
      <c r="ER28" s="96">
        <f t="shared" ca="1" si="4"/>
        <v>0</v>
      </c>
      <c r="ES28" s="96">
        <f t="shared" ca="1" si="5"/>
        <v>0</v>
      </c>
      <c r="ET28" s="202">
        <f t="shared" ca="1" si="79"/>
        <v>0</v>
      </c>
      <c r="EU28" s="202" t="str">
        <f ca="1">IF($EO28=$FA$4,Stammdaten!$AX$19,IF(COUNTIF($EP28:$ES28,0)&lt;&gt;0,INDEX(StdFehler[StdFehler],4),ROUND(SUM($ET28/$EN28)/$FC$4,0)*$FC$4))</f>
        <v>Zu wenige Noten</v>
      </c>
      <c r="EV28" s="202" t="str">
        <f t="shared" ca="1" si="6"/>
        <v>Zu wenige Noten</v>
      </c>
      <c r="EW28" s="202" t="str">
        <f t="shared" ca="1" si="80"/>
        <v>Zu wenige Noten</v>
      </c>
      <c r="EX28" s="202" t="str">
        <f t="shared" ca="1" si="80"/>
        <v>Zu wenige Noten</v>
      </c>
      <c r="EY28" s="202" t="str">
        <f t="shared" ca="1" si="80"/>
        <v>Zu wenige Noten</v>
      </c>
      <c r="EZ28" s="202" t="str">
        <f t="shared" ca="1" si="81"/>
        <v>Zu wenige Noten</v>
      </c>
      <c r="FA28" s="202" t="str">
        <f t="shared" ca="1" si="82"/>
        <v>Zu wenige Noten</v>
      </c>
      <c r="FB28" s="31"/>
      <c r="FC28" s="56" t="str">
        <f t="shared" ca="1" si="83"/>
        <v>Zu wenige Noten</v>
      </c>
      <c r="FD28" s="31"/>
      <c r="FE28" s="597"/>
      <c r="FF28" s="190"/>
      <c r="FJ28" s="31"/>
      <c r="FK28" s="597"/>
      <c r="FL28" s="190"/>
      <c r="FP28" s="31"/>
      <c r="FQ28" s="597"/>
      <c r="FR28" s="190"/>
      <c r="FV28" s="31"/>
      <c r="FW28" s="597"/>
      <c r="FX28" s="190"/>
      <c r="GB28" s="31"/>
      <c r="GC28" s="597"/>
      <c r="GD28" s="190"/>
      <c r="GF28" s="154"/>
      <c r="GH28" s="31"/>
      <c r="GI28" s="597"/>
      <c r="GJ28" s="190"/>
      <c r="GN28" s="45"/>
      <c r="GO28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8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8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8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8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8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8" s="202">
        <f t="shared" si="7"/>
        <v>0</v>
      </c>
      <c r="GV28" s="202">
        <f t="shared" si="8"/>
        <v>0</v>
      </c>
      <c r="GW28" s="202">
        <f t="shared" si="84"/>
        <v>0</v>
      </c>
      <c r="GX28" s="200" t="str">
        <f t="shared" si="85"/>
        <v>!</v>
      </c>
      <c r="GY28" s="200" t="str">
        <f t="shared" si="9"/>
        <v>!</v>
      </c>
      <c r="GZ28" s="200" t="str">
        <f t="shared" si="10"/>
        <v>!</v>
      </c>
      <c r="HA28" s="244" t="str">
        <f t="shared" si="86"/>
        <v>nd</v>
      </c>
      <c r="HB28" s="244" t="str">
        <f t="shared" si="87"/>
        <v>nd</v>
      </c>
      <c r="HC28" s="244" t="str">
        <f t="shared" si="88"/>
        <v>nd</v>
      </c>
      <c r="HD28" s="244" t="str">
        <f t="shared" si="89"/>
        <v>nd</v>
      </c>
      <c r="HE28" s="244" t="str">
        <f t="shared" si="90"/>
        <v>nd</v>
      </c>
      <c r="HF28" s="244" t="str">
        <f t="shared" si="91"/>
        <v>nd</v>
      </c>
      <c r="HG28" s="202" t="b">
        <f t="shared" si="92"/>
        <v>0</v>
      </c>
      <c r="HH28" s="202">
        <f t="shared" si="93"/>
        <v>1</v>
      </c>
      <c r="HI28" s="202">
        <f t="shared" si="94"/>
        <v>0</v>
      </c>
      <c r="HJ28" s="200" t="str">
        <f t="shared" si="95"/>
        <v/>
      </c>
      <c r="HK28" s="200" t="str">
        <f t="shared" si="96"/>
        <v/>
      </c>
      <c r="HL28" s="200">
        <f t="shared" si="97"/>
        <v>0</v>
      </c>
      <c r="HM28" s="202" t="str">
        <f t="shared" si="98"/>
        <v/>
      </c>
      <c r="HN28" s="200" t="str">
        <f t="shared" si="99"/>
        <v/>
      </c>
      <c r="HO28" s="200" t="str">
        <f t="shared" si="100"/>
        <v/>
      </c>
      <c r="HP28" s="200" t="str">
        <f t="shared" si="101"/>
        <v/>
      </c>
      <c r="HQ28" s="242" t="str">
        <f t="shared" si="102"/>
        <v/>
      </c>
      <c r="HR28" s="242" t="str">
        <f t="shared" si="103"/>
        <v/>
      </c>
      <c r="HS28" s="242" t="str">
        <f t="shared" si="104"/>
        <v/>
      </c>
      <c r="HT28" s="242" t="str">
        <f t="shared" ca="1" si="105"/>
        <v>Erstes Gerät</v>
      </c>
      <c r="HU28" s="242" t="str">
        <f ca="1">IF(HT28=$HS$12,Stammdaten!$AY$27,IF(HW28=$A$2,TRIM(Stammdaten!$AX$25),""))</f>
        <v>nicht durchgeführt</v>
      </c>
      <c r="HV28" s="242" t="str">
        <f t="shared" ca="1" si="106"/>
        <v/>
      </c>
      <c r="HW28" s="277" t="str">
        <f t="shared" si="11"/>
        <v/>
      </c>
      <c r="HX28" s="202" t="str">
        <f t="shared" si="107"/>
        <v/>
      </c>
      <c r="HY28" s="202" t="str">
        <f t="shared" ca="1" si="108"/>
        <v/>
      </c>
      <c r="HZ28" s="202" t="str">
        <f t="shared" ca="1" si="109"/>
        <v>StdDisziplinen[MaxTextSt]</v>
      </c>
      <c r="IA28" s="202" t="str">
        <f t="shared" ca="1" si="12"/>
        <v/>
      </c>
      <c r="IB28" s="202" t="b">
        <f t="shared" si="110"/>
        <v>0</v>
      </c>
      <c r="IC28" s="202" t="str">
        <f t="shared" si="111"/>
        <v/>
      </c>
      <c r="ID28" s="202" t="str">
        <f t="shared" si="112"/>
        <v/>
      </c>
      <c r="IE28" s="202" t="str">
        <f t="shared" si="113"/>
        <v/>
      </c>
      <c r="IF28" s="202" t="str">
        <f t="shared" si="114"/>
        <v/>
      </c>
      <c r="IG28" s="242" t="str">
        <f t="shared" si="115"/>
        <v/>
      </c>
      <c r="IH28" s="242" t="str">
        <f t="shared" si="116"/>
        <v/>
      </c>
      <c r="II28" s="242" t="str">
        <f t="shared" ca="1" si="13"/>
        <v>Zweites Gerät</v>
      </c>
      <c r="IJ28" s="242" t="str">
        <f ca="1">IF(II28=$IH$12,Stammdaten!$AY$27,IF(IL28=$A$2,TRIM(Stammdaten!$AX$25),""))</f>
        <v>nicht durchgeführt</v>
      </c>
      <c r="IK28" s="242" t="str">
        <f t="shared" ca="1" si="117"/>
        <v/>
      </c>
      <c r="IL28" s="200" t="str">
        <f t="shared" si="14"/>
        <v/>
      </c>
      <c r="IM28" s="202" t="str">
        <f t="shared" si="118"/>
        <v/>
      </c>
      <c r="IN28" s="202" t="str">
        <f t="shared" ca="1" si="119"/>
        <v/>
      </c>
      <c r="IO28" s="202" t="str">
        <f t="shared" ca="1" si="120"/>
        <v>StdDisziplinen[MaxTextSt]</v>
      </c>
      <c r="IP28" s="202" t="str">
        <f t="shared" ca="1" si="121"/>
        <v/>
      </c>
      <c r="IQ28" s="202" t="b">
        <f t="shared" si="122"/>
        <v>0</v>
      </c>
      <c r="IR28" s="242" t="str">
        <f t="shared" ca="1" si="15"/>
        <v>Drittes Gerät</v>
      </c>
      <c r="IS28" s="242" t="str">
        <f ca="1">IF(IR28=$IR$12,MID(Stammdaten!$AX$27,2,LEN(Stammdaten!$AX$27)),IF(IU28=$A$2,TRIM(Stammdaten!$AX$25),""))</f>
        <v>nicht durchgeführt</v>
      </c>
      <c r="IT28" s="242" t="str">
        <f t="shared" ca="1" si="16"/>
        <v/>
      </c>
      <c r="IU28" s="200" t="str">
        <f t="shared" si="17"/>
        <v/>
      </c>
      <c r="IV28" s="202" t="str">
        <f t="shared" si="123"/>
        <v/>
      </c>
      <c r="IW28" s="202" t="str">
        <f t="shared" ca="1" si="124"/>
        <v/>
      </c>
      <c r="IX28" s="202" t="str">
        <f t="shared" ca="1" si="125"/>
        <v>StdDisziplinen[MaxTextSt]</v>
      </c>
      <c r="IY28" s="202" t="str">
        <f t="shared" ca="1" si="18"/>
        <v/>
      </c>
      <c r="IZ28" s="200" t="str">
        <f>IF(NOT(GW28),INDEX(StdFehler[StdFehler],4),IF(COUNTIF(GX28:GZ28,$A$2)&gt;=$IZ$4,$A$3,SUM(GX28:GZ28)))</f>
        <v>Zu wenige Noten</v>
      </c>
      <c r="JA28" s="31"/>
      <c r="JB28" s="587" t="e">
        <f t="shared" si="19"/>
        <v>#VALUE!</v>
      </c>
      <c r="JC28" s="191" t="str">
        <f>IF(OR(Geschlecht[[#This Row],[Geschlecht (Skala)]]="",IZ28=""),"",MID(Geschlecht[[#This Row],[Geschlecht (Skala)]],1,1)&amp;MID($FE$16,1,1))</f>
        <v/>
      </c>
      <c r="JD28" s="190" t="str">
        <f>IF(OR(JC28="",IZ28=""),"",REPLACE(INDEX(StdDisziplinen[TabÜberschriftResultat],$FE$3),FIND("X",INDEX(StdDisziplinen[TabÜberschriftResultat],$FE$3),1),2,JC28))</f>
        <v/>
      </c>
      <c r="JE28" s="192" t="str">
        <f ca="1">IF(OR(JD28="",IZ28=Stammdaten!$AZ$5),"",IF(OR(IZ28=Stammdaten!$AX$22,IZ28=Stammdaten!$AX$19),Stammdaten!$AX$19,IF(ISNA(INDEX(INDIRECT(JD28),MATCH(GeräteturnenGerundet[[#This Row],[Rundung]],INDIRECT(JD28),$JD$16))),IF($JD$16=-1,LARGE(INDIRECT(JD28),1),SMALL(INDIRECT(JD28),1)),INDEX(INDIRECT(JD28),MATCH(GeräteturnenGerundet[[#This Row],[Rundung]],INDIRECT(JD28),$JD$16)))))</f>
        <v/>
      </c>
      <c r="JG28" s="18" t="str">
        <f ca="1">IF(GeräteturnenSkalawert[[#This Row],[Skala-Wert]]="","",REPLACE(INDEX(StdDisziplinen[TabÜberschriftNote],$FE$3),FIND("X",INDEX(StdDisziplinen[TabÜberschriftNote],$FE$3),1),2,JC28))</f>
        <v/>
      </c>
      <c r="JH28" s="45" t="str">
        <f ca="1">IF(OR(JG28="",GeräteturnenSkalawert[[#This Row],[Skala-Wert]]=Stammdaten!$AX$19),"",INDEX(INDIRECT(JG28),MATCH(GeräteturnenSkalawert[[#This Row],[Skala-Wert]],INDIRECT(JD28),0)))</f>
        <v/>
      </c>
      <c r="JI28" s="31"/>
      <c r="JJ28" s="597"/>
      <c r="JK28" s="190"/>
      <c r="JL28" s="587">
        <f>IF(JL$16,IF(JM$16=0.5,MROUND(ParkourResultat[[#This Row],[Resultat]],JM$16),ROUND(ParkourResultat[[#This Row],[Resultat]],JM$16)),ROUNDDOWN(ParkourResultat[[#This Row],[Resultat]],JM$16))</f>
        <v>0</v>
      </c>
      <c r="JM28" s="191" t="str">
        <f>IF(OR(Geschlecht[[#This Row],[Geschlecht (Skala)]]="",JJ$16=""),"",MID(Geschlecht[[#This Row],[Geschlecht (Skala)]],1,1)&amp;MID(JJ$16,1,1))</f>
        <v/>
      </c>
      <c r="JN28" s="190" t="str">
        <f>IF(OR(JM28="",ParkourResultat[[#This Row],[Resultat]]=""),"",REPLACE(INDEX(StdDisziplinen[TabÜberschriftResultat],JJ$3),FIND("X",INDEX(StdDisziplinen[TabÜberschriftResultat],JJ$3),1),2,JM28))</f>
        <v/>
      </c>
      <c r="JO28" s="192" t="str">
        <f ca="1">IF(JN28="","",IF(OR(ParkourResultat[[#This Row],[Resultat]]=Stammdaten!$AX$22,ParkourResultat[[#This Row],[Resultat]]=Stammdaten!$AX$19),Stammdaten!$AX$19,IF(ISNA(INDEX(INDIRECT(JN28),MATCH(ParkourGerundet[[#This Row],[Rundung]],INDIRECT(JN28),JN$18))),IF(JN$18=-1,LARGE(INDIRECT(JN28),1),SMALL(INDIRECT(JN28),1)),INDEX(INDIRECT(JN28),MATCH(ParkourGerundet[[#This Row],[Rundung]],INDIRECT(JN28),JN$18)))))</f>
        <v/>
      </c>
      <c r="JQ28" s="18" t="str">
        <f ca="1">IF(ParkourSkalawert[[#This Row],[Skala-Wert]]="","",REPLACE(INDEX(StdDisziplinen[TabÜberschriftNote],JJ$3),FIND("X",INDEX(StdDisziplinen[TabÜberschriftNote],JJ$3),1),2,JM28))</f>
        <v/>
      </c>
      <c r="JR28" s="31" t="str">
        <f ca="1">IF(OR(JQ28="",ParkourSkalawert[[#This Row],[Skala-Wert]]=Stammdaten!$AX$19),"",INDEX(INDIRECT(JQ28),MATCH(ParkourSkalawert[[#This Row],[Skala-Wert]],INDIRECT(JN28),0)))</f>
        <v/>
      </c>
      <c r="JS28" s="96"/>
      <c r="JT28" s="47" t="str">
        <f ca="1">IF(OR(ISNUMBER(ParkourSkalawert[[#This Row],[Skala-Wert]]),ParkourSkalawert[[#This Row],[Skala-Wert]]=$A$3),INDEX(INDIRECT($JU$1),MATCH($JJ$3,INDIRECT($B$5),0)),"")</f>
        <v/>
      </c>
      <c r="JU28" s="200" t="str">
        <f t="shared" ca="1" si="126"/>
        <v>StdDisziplinen[MaxTextSt]</v>
      </c>
      <c r="JV28" s="200" t="str">
        <f t="shared" ca="1" si="127"/>
        <v/>
      </c>
      <c r="JW28" s="98">
        <f ca="1">IF(GeräteturnenSkalawert[[#This Row],[Skala-Wert]]=$A$3,$A$2,IF(GeräteturnenNote[[#This Row],[Note]]="",0,GeräteturnenNote[[#This Row],[Note]]))</f>
        <v>0</v>
      </c>
      <c r="JX28" s="96">
        <f ca="1">IF(ParkourSkalawert[[#This Row],[Skala-Wert]]=$A$3,$A$2,IF(ParkourNote[[#This Row],[Note]]="",0,ParkourNote[[#This Row],[Note]]))</f>
        <v>0</v>
      </c>
      <c r="JY28" s="200">
        <f t="shared" ca="1" si="128"/>
        <v>0</v>
      </c>
      <c r="JZ28" s="200">
        <f t="shared" ca="1" si="129"/>
        <v>0</v>
      </c>
      <c r="KA28" s="202">
        <f t="shared" ca="1" si="130"/>
        <v>0</v>
      </c>
      <c r="KB28" s="98" t="str">
        <f t="shared" ca="1" si="20"/>
        <v>!</v>
      </c>
      <c r="KC28" s="98" t="str">
        <f t="shared" ca="1" si="21"/>
        <v>!</v>
      </c>
      <c r="KD28" s="202" t="str">
        <f ca="1">IF(NOT(KA28),INDEX(StdFehler[StdFehler],4),IF(JZ28=$KA$12,$A$3,IF(JW28=$A$2,JX28,IF(JX28=$A$2,JW28,CONCATENATE(JW28,", ",JX28)))))</f>
        <v>Zu wenige Noten</v>
      </c>
      <c r="KE28" s="202" t="str">
        <f t="shared" ca="1" si="131"/>
        <v>Zu wenige Noten</v>
      </c>
      <c r="KF28" s="31"/>
      <c r="KG28" s="56" t="str">
        <f ca="1">IF(NOT(KA28),INDEX(StdFehler[StdFehler],4),IF(JZ28=$KA$12,$A$3,ROUND(AVERAGE(KB28:KC28)/$KG$4,0)*$KG$4))</f>
        <v>Zu wenige Noten</v>
      </c>
      <c r="KH28" s="31"/>
      <c r="KI28" s="599"/>
      <c r="KJ28" s="190"/>
      <c r="KK28" s="586">
        <f>IF(KK$16,IF(KL$16=0.5,MROUND(TanzenResultat[[#This Row],[Resultat]],KL$16),ROUND(TanzenResultat[[#This Row],[Resultat]],KL$16)),ROUNDDOWN(TanzenResultat[[#This Row],[Resultat]],KL$16))</f>
        <v>0</v>
      </c>
      <c r="KL28" s="191" t="str">
        <f>IF(OR(Geschlecht[[#This Row],[Geschlecht (Skala)]]="",KI$16=""),"",MID(Geschlecht[[#This Row],[Geschlecht (Skala)]],1,1)&amp;MID(KI$16,1,1))</f>
        <v/>
      </c>
      <c r="KM28" s="190" t="str">
        <f>IF(OR(KL28="",TanzenResultat[[#This Row],[Resultat]]=""),"",REPLACE(INDEX(StdDisziplinen[TabÜberschriftResultat],KI$3),FIND("X",INDEX(StdDisziplinen[TabÜberschriftResultat],KI$3),1),2,KL28))</f>
        <v/>
      </c>
      <c r="KN28" s="31" t="str">
        <f ca="1">IF(KM28="","",IF(OR(TanzenResultat[[#This Row],[Resultat]]=Stammdaten!$AX$22,TanzenResultat[[#This Row],[Resultat]]=Stammdaten!$AX$19),Stammdaten!$AX$19,IF(ISNA(INDEX(INDIRECT(KM28),MATCH(TanzenGerundet[[#This Row],[Rundung]],INDIRECT(KM28),KM$18))),IF(KM$18=-1,LARGE(INDIRECT(KM28),1),SMALL(INDIRECT(KM28),1)),INDEX(INDIRECT(KM28),MATCH(TanzenGerundet[[#This Row],[Rundung]],INDIRECT(KM28),KM$18)))))</f>
        <v/>
      </c>
      <c r="KP28" s="18" t="str">
        <f ca="1">IF(TanzenSkalawert[[#This Row],[Skala-Wert]]="","",REPLACE(INDEX(StdDisziplinen[TabÜberschriftNote],KI$3),FIND("X",INDEX(StdDisziplinen[TabÜberschriftNote],KI$3),1),2,KL28))</f>
        <v/>
      </c>
      <c r="KQ28" s="45" t="str">
        <f ca="1">IF(OR(KP28="",TanzenSkalawert[[#This Row],[Skala-Wert]]=Stammdaten!$AX$19),"",INDEX(INDIRECT(KP28),MATCH(TanzenSkalawert[[#This Row],[Skala-Wert]],INDIRECT(KM28),0)))</f>
        <v/>
      </c>
      <c r="KR28" s="31"/>
      <c r="KS28" s="597"/>
      <c r="KT28" s="190"/>
      <c r="KU28" s="587">
        <f>IF(KU$16,IF(KV$16=0.5,MROUND(RopeSkippingResultat[[#This Row],[Resultat]],KV$16),ROUND(RopeSkippingResultat[[#This Row],[Resultat]],KV$16)),ROUNDDOWN(RopeSkippingResultat[[#This Row],[Resultat]],KV$16))</f>
        <v>0</v>
      </c>
      <c r="KV28" s="191" t="str">
        <f>IF(OR(Geschlecht[[#This Row],[Geschlecht (Skala)]]="",KS$16=""),"",MID(Geschlecht[[#This Row],[Geschlecht (Skala)]],1,1)&amp;MID(KS$16,1,1))</f>
        <v/>
      </c>
      <c r="KW28" s="190" t="str">
        <f>IF(OR(KV28="",RopeSkippingResultat[[#This Row],[Resultat]]=""),"",REPLACE(INDEX(StdDisziplinen[TabÜberschriftResultat],KS$3),FIND("X",INDEX(StdDisziplinen[TabÜberschriftResultat],KS$3),1),2,KV28))</f>
        <v/>
      </c>
      <c r="KX28" s="192" t="str">
        <f ca="1">IF(KW28="","",IF(OR(RopeSkippingResultat[[#This Row],[Resultat]]=Stammdaten!$AX$22,RopeSkippingResultat[[#This Row],[Resultat]]=Stammdaten!$AX$19),Stammdaten!$AX$19,IF(ISNA(INDEX(INDIRECT(KW28),MATCH(RopeSkippingGerundet[[#This Row],[Rundung]],INDIRECT(KW28),KW$18))),IF(KW$18=-1,LARGE(INDIRECT(KW28),1),SMALL(INDIRECT(KW28),1)),INDEX(INDIRECT(KW28),MATCH(RopeSkippingGerundet[[#This Row],[Rundung]],INDIRECT(KW28),KW$18)))))</f>
        <v/>
      </c>
      <c r="KZ28" s="18" t="str">
        <f ca="1">IF(RopeSkippingSkalawert[[#This Row],[Skala-Wert]]="","",REPLACE(INDEX(StdDisziplinen[TabÜberschriftNote],KS$3),FIND("X",INDEX(StdDisziplinen[TabÜberschriftNote],KS$3),1),2,KV28))</f>
        <v/>
      </c>
      <c r="LA28" s="45" t="str">
        <f ca="1">IF(OR(KZ28="",RopeSkippingSkalawert[[#This Row],[Skala-Wert]]=Stammdaten!$AX$19),"",INDEX(INDIRECT(KZ28),MATCH(RopeSkippingSkalawert[[#This Row],[Skala-Wert]],INDIRECT(KW28),0)))</f>
        <v/>
      </c>
      <c r="LB28" s="31"/>
      <c r="LC28" s="599"/>
      <c r="LD28" s="190"/>
      <c r="LE28" s="586">
        <f>IF(LE$16,IF(LF$16=0.5,MROUND(AerobicResultat[[#This Row],[Resultat]],LF$16),ROUND(AerobicResultat[[#This Row],[Resultat]],LF$16)),ROUNDDOWN(AerobicResultat[[#This Row],[Resultat]],LF$16))</f>
        <v>0</v>
      </c>
      <c r="LF28" s="191" t="str">
        <f>IF(OR(Geschlecht[[#This Row],[Geschlecht (Skala)]]="",LC$16=""),"",MID(Geschlecht[[#This Row],[Geschlecht (Skala)]],1,1)&amp;MID(LC$16,1,1))</f>
        <v/>
      </c>
      <c r="LG28" s="190" t="str">
        <f>IF(OR(LF28="",AerobicResultat[[#This Row],[Resultat]]=""),"",REPLACE(INDEX(StdDisziplinen[TabÜberschriftResultat],LC$3),FIND("X",INDEX(StdDisziplinen[TabÜberschriftResultat],LC$3),1),2,LF28))</f>
        <v/>
      </c>
      <c r="LH28" s="31" t="str">
        <f ca="1">IF(LG28="","",IF(OR(AerobicResultat[[#This Row],[Resultat]]=Stammdaten!$AX$22,AerobicResultat[[#This Row],[Resultat]]=Stammdaten!$AX$19),Stammdaten!$AX$19,IF(ISNA(INDEX(INDIRECT(LG28),MATCH(AerobicGerundet[[#This Row],[Rundung]],INDIRECT(LG28),LG$18))),IF(LG$18=-1,LARGE(INDIRECT(LG28),1),SMALL(INDIRECT(LG28),1)),INDEX(INDIRECT(LG28),MATCH(AerobicGerundet[[#This Row],[Rundung]],INDIRECT(LG28),LG$18)))))</f>
        <v/>
      </c>
      <c r="LJ28" s="18" t="str">
        <f ca="1">IF(AerobicSkalawert[[#This Row],[Skala-Wert]]="","",REPLACE(INDEX(StdDisziplinen[TabÜberschriftNote],LC$3),FIND("X",INDEX(StdDisziplinen[TabÜberschriftNote],LC$3),1),2,LF28))</f>
        <v/>
      </c>
      <c r="LK28" s="45" t="str">
        <f ca="1">IF(OR(LJ28="",AerobicSkalawert[[#This Row],[Skala-Wert]]=Stammdaten!$AX$19),"",INDEX(INDIRECT(LJ28),MATCH(AerobicSkalawert[[#This Row],[Skala-Wert]],INDIRECT(LG28),0)))</f>
        <v/>
      </c>
      <c r="LL28" s="31"/>
      <c r="LM28" s="45" t="str">
        <f ca="1">IF(TanzenSkalawert[[#This Row],[Skala-Wert]]=$A$3,$A$2,IF(ISNUMBER(TanzenSkalawert[[#This Row],[Skala-Wert]]),TanzenNote[[#This Row],[Note]],"!"))</f>
        <v>!</v>
      </c>
      <c r="LN28" s="45" t="str">
        <f ca="1">IF(RopeSkippingSkalawert[[#This Row],[Skala-Wert]]=$A$3,$A$2,IF(ISNUMBER(RopeSkippingSkalawert[[#This Row],[Skala-Wert]]),RopeSkippingNote[[#This Row],[Note]],"!"))</f>
        <v>!</v>
      </c>
      <c r="LO28" s="45" t="str">
        <f ca="1">IF(AerobicSkalawert[[#This Row],[Skala-Wert]]=$A$3,$A$2,IF(ISNUMBER(AerobicSkalawert[[#This Row],[Skala-Wert]]),AerobicNote[[#This Row],[Note]],"!"))</f>
        <v>!</v>
      </c>
      <c r="LP28" s="36">
        <f t="shared" ca="1" si="132"/>
        <v>0</v>
      </c>
      <c r="LQ28" s="36">
        <f t="shared" ca="1" si="133"/>
        <v>0</v>
      </c>
      <c r="LR28" s="244" t="str">
        <f t="shared" ca="1" si="22"/>
        <v>nd</v>
      </c>
      <c r="LS28" s="244" t="str">
        <f t="shared" ca="1" si="23"/>
        <v>nd</v>
      </c>
      <c r="LT28" s="244" t="str">
        <f t="shared" ca="1" si="24"/>
        <v>nd</v>
      </c>
      <c r="LU28" s="242" t="str">
        <f t="shared" ca="1" si="25"/>
        <v/>
      </c>
      <c r="LV28" s="242" t="str">
        <f t="shared" ca="1" si="134"/>
        <v/>
      </c>
      <c r="LW28" s="242" t="str">
        <f t="shared" ca="1" si="135"/>
        <v/>
      </c>
      <c r="LX28" s="242" t="str">
        <f ca="1">IF(LW28="",Stammdaten!$AM$4,INDEX(INDIRECT($B$4),MATCH($LW28,INDIRECT($B$5),0)))</f>
        <v>Darstellen und Tanzen</v>
      </c>
      <c r="LY28" s="242" t="str">
        <f ca="1">IF(LW28="",Stammdaten!$AY$27,IF(ISNUMBER(LU28),LX28,IF(ISNUMBER(LV28),TRIM(Stammdaten!$AX$25),"")))</f>
        <v>nicht durchgeführt</v>
      </c>
      <c r="LZ28" s="242" t="str">
        <f t="shared" ca="1" si="136"/>
        <v>Darstellen und Tanzen</v>
      </c>
      <c r="MA28" s="242" t="str">
        <f t="shared" ca="1" si="137"/>
        <v/>
      </c>
      <c r="MB28" s="242" t="str">
        <f t="shared" ca="1" si="26"/>
        <v>Darstellen und TanzenResultat[@Resultat]</v>
      </c>
      <c r="MC28" s="274" t="str">
        <f t="shared" ca="1" si="138"/>
        <v/>
      </c>
      <c r="MD28" s="242" t="str">
        <f t="shared" ca="1" si="139"/>
        <v>Darstellen und TanzenSkalawert[@[Skala-Wert]]</v>
      </c>
      <c r="ME28" s="274" t="str">
        <f t="shared" ca="1" si="140"/>
        <v/>
      </c>
      <c r="MF28" s="47" t="str">
        <f t="shared" ca="1" si="27"/>
        <v/>
      </c>
      <c r="MG28" s="200" t="str">
        <f t="shared" ca="1" si="141"/>
        <v>StdDisziplinen[MaxTextSt]</v>
      </c>
      <c r="MH28" s="200" t="str">
        <f t="shared" ca="1" si="142"/>
        <v/>
      </c>
      <c r="MI28" s="45"/>
      <c r="MJ28" s="98" t="str">
        <f ca="1">IF(LP28&gt;0,MAX(LM28:LO28),IF(LQ28&gt;0,$A$3,INDEX(StdFehler[StdFehler],4)))</f>
        <v>Zu wenige Noten</v>
      </c>
      <c r="MK28" s="45"/>
      <c r="ML28" s="37"/>
      <c r="MM28" s="190"/>
      <c r="MN28" s="586">
        <f>IF(MN$16,IF(MO$16=0.5,MROUND(BasketballResultat[[#This Row],[Resultat]],MO$16),ROUND(BasketballResultat[[#This Row],[Resultat]],MO$16)),ROUNDDOWN(BasketballResultat[[#This Row],[Resultat]],MO$16))</f>
        <v>0</v>
      </c>
      <c r="MO28" s="191" t="str">
        <f>IF(OR(Geschlecht[[#This Row],[Geschlecht (Skala)]]="",ML$16=""),"",MID(Geschlecht[[#This Row],[Geschlecht (Skala)]],1,1)&amp;MID(ML$16,1,1))</f>
        <v/>
      </c>
      <c r="MP28" s="190" t="str">
        <f>IF(OR(MO28="",BasketballResultat[[#This Row],[Resultat]]=""),"",REPLACE(INDEX(StdDisziplinen[TabÜberschriftResultat],ML$3),FIND("X",INDEX(StdDisziplinen[TabÜberschriftResultat],ML$3),1),2,MO28))</f>
        <v/>
      </c>
      <c r="MQ28" s="31" t="str">
        <f ca="1">IF(MP28="","",IF(OR(BasketballResultat[[#This Row],[Resultat]]=Stammdaten!$AX$22,BasketballResultat[[#This Row],[Resultat]]=Stammdaten!$AX$19),Stammdaten!$AX$19,IF(ISNA(INDEX(INDIRECT(MP28),MATCH(BasketballGerundet[[#This Row],[Rundung]],INDIRECT(MP28),MP$18))),IF(MP$18=-1,LARGE(INDIRECT(MP28),1),SMALL(INDIRECT(MP28),1)),INDEX(INDIRECT(MP28),MATCH(BasketballGerundet[[#This Row],[Rundung]],INDIRECT(MP28),MP$18)))))</f>
        <v/>
      </c>
      <c r="MS28" s="18" t="str">
        <f ca="1">IF(BasketballSkalawert[[#This Row],[Skala-Wert]]="","",REPLACE(INDEX(StdDisziplinen[TabÜberschriftNote],ML$3),FIND("X",INDEX(StdDisziplinen[TabÜberschriftNote],ML$3),1),2,MO28))</f>
        <v/>
      </c>
      <c r="MT28" s="31" t="str">
        <f ca="1">IF(OR(MS28="",BasketballSkalawert[[#This Row],[Skala-Wert]]=Stammdaten!$AX$19),"",INDEX(INDIRECT(MS28),MATCH(BasketballSkalawert[[#This Row],[Skala-Wert]],INDIRECT(MP28),0)))</f>
        <v/>
      </c>
      <c r="MU28" s="31"/>
      <c r="MV28" s="37"/>
      <c r="MW28" s="190"/>
      <c r="MX28" s="586">
        <f>IF(MX$16,IF(MY$16=0.5,MROUND(FussballResultat[[#This Row],[Resultat]],MY$16),ROUND(FussballResultat[[#This Row],[Resultat]],MY$16)),ROUNDDOWN(FussballResultat[[#This Row],[Resultat]],MY$16))</f>
        <v>0</v>
      </c>
      <c r="MY28" s="191" t="str">
        <f>IF(OR(Geschlecht[[#This Row],[Geschlecht (Skala)]]="",MV$16=""),"",MID(Geschlecht[[#This Row],[Geschlecht (Skala)]],1,1)&amp;MID(MV$16,1,1))</f>
        <v/>
      </c>
      <c r="MZ28" s="190" t="str">
        <f>IF(OR(MY28="",FussballResultat[[#This Row],[Resultat]]=""),"",REPLACE(INDEX(StdDisziplinen[TabÜberschriftResultat],MV$3),FIND("X",INDEX(StdDisziplinen[TabÜberschriftResultat],MV$3),1),2,MY28))</f>
        <v/>
      </c>
      <c r="NA28" s="31" t="str">
        <f ca="1">IF(MZ28="","",IF(OR(FussballResultat[[#This Row],[Resultat]]=Stammdaten!$AX$22,FussballResultat[[#This Row],[Resultat]]=Stammdaten!$AX$19),Stammdaten!$AX$19,IF(ISNA(INDEX(INDIRECT(MZ28),MATCH(FussballGerundet[[#This Row],[Rundung]],INDIRECT(MZ28),MZ$18))),IF(MZ$18=-1,LARGE(INDIRECT(MZ28),1),SMALL(INDIRECT(MZ28),1)),INDEX(INDIRECT(MZ28),MATCH(FussballGerundet[[#This Row],[Rundung]],INDIRECT(MZ28),MZ$18)))))</f>
        <v/>
      </c>
      <c r="NC28" s="18" t="str">
        <f ca="1">IF(FussballSkalawert[[#This Row],[Skala-Wert]]="","",REPLACE(INDEX(StdDisziplinen[TabÜberschriftNote],MV$3),FIND("X",INDEX(StdDisziplinen[TabÜberschriftNote],MV$3),1),2,MY28))</f>
        <v/>
      </c>
      <c r="ND28" s="31" t="str">
        <f ca="1">IF(OR(NC28="",FussballSkalawert[[#This Row],[Skala-Wert]]=Stammdaten!$AX$19),"",INDEX(INDIRECT(NC28),MATCH(FussballSkalawert[[#This Row],[Skala-Wert]],INDIRECT(MZ28),0)))</f>
        <v/>
      </c>
      <c r="NE28" s="31"/>
      <c r="NF28" s="37"/>
      <c r="NG28" s="190"/>
      <c r="NH28" s="586">
        <f>IF(NH$16,IF(NI$16=0.5,MROUND(HandballResultat[[#This Row],[Resultat]],NI$16),ROUND(HandballResultat[[#This Row],[Resultat]],NI$16)),ROUNDDOWN(HandballResultat[[#This Row],[Resultat]],NI$16))</f>
        <v>0</v>
      </c>
      <c r="NI28" s="191" t="str">
        <f>IF(OR(Geschlecht[[#This Row],[Geschlecht (Skala)]]="",NF$16=""),"",MID(Geschlecht[[#This Row],[Geschlecht (Skala)]],1,1)&amp;MID(NF$16,1,1))</f>
        <v/>
      </c>
      <c r="NJ28" s="190" t="str">
        <f>IF(OR(NI28="",HandballResultat[[#This Row],[Resultat]]=""),"",REPLACE(INDEX(StdDisziplinen[TabÜberschriftResultat],NF$3),FIND("X",INDEX(StdDisziplinen[TabÜberschriftResultat],NF$3),1),2,NI28))</f>
        <v/>
      </c>
      <c r="NK28" s="31" t="str">
        <f ca="1">IF(NJ28="","",IF(OR(HandballResultat[[#This Row],[Resultat]]=Stammdaten!$AX$22,HandballResultat[[#This Row],[Resultat]]=Stammdaten!$AX$19),Stammdaten!$AX$19,IF(ISNA(INDEX(INDIRECT(NJ28),MATCH(HandballGerundet[[#This Row],[Rundung]],INDIRECT(NJ28),NJ$18))),IF(NJ$18=-1,LARGE(INDIRECT(NJ28),1),SMALL(INDIRECT(NJ28),1)),INDEX(INDIRECT(NJ28),MATCH(HandballGerundet[[#This Row],[Rundung]],INDIRECT(NJ28),NJ$18)))))</f>
        <v/>
      </c>
      <c r="NM28" s="18" t="str">
        <f ca="1">IF(HandballSkalawert[[#This Row],[Skala-Wert]]="","",REPLACE(INDEX(StdDisziplinen[TabÜberschriftNote],NF$3),FIND("X",INDEX(StdDisziplinen[TabÜberschriftNote],NF$3),1),2,NI28))</f>
        <v/>
      </c>
      <c r="NN28" s="31" t="str">
        <f ca="1">IF(OR(NM28="",HandballSkalawert[[#This Row],[Skala-Wert]]=Stammdaten!$AX$19),"",INDEX(INDIRECT(NM28),MATCH(HandballSkalawert[[#This Row],[Skala-Wert]],INDIRECT(NJ28),0)))</f>
        <v/>
      </c>
      <c r="NO28" s="31"/>
      <c r="NP28" s="37"/>
      <c r="NQ28" s="190"/>
      <c r="NR28" s="586">
        <f>IF(NR$16,IF(NS$16=0.5,MROUND(UnihockeyResultat[[#This Row],[Resultat]],NS$16),ROUND(UnihockeyResultat[[#This Row],[Resultat]],NS$16)),ROUNDDOWN(UnihockeyResultat[[#This Row],[Resultat]],NS$16))</f>
        <v>0</v>
      </c>
      <c r="NS28" s="191" t="str">
        <f>IF(OR(Geschlecht[[#This Row],[Geschlecht (Skala)]]="",NP$16=""),"",MID(Geschlecht[[#This Row],[Geschlecht (Skala)]],1,1)&amp;MID(NP$16,1,1))</f>
        <v/>
      </c>
      <c r="NT28" s="190" t="str">
        <f>IF(OR(NS28="",UnihockeyResultat[[#This Row],[Resultat]]=""),"",REPLACE(INDEX(StdDisziplinen[TabÜberschriftResultat],NP$3),FIND("X",INDEX(StdDisziplinen[TabÜberschriftResultat],NP$3),1),2,NS28))</f>
        <v/>
      </c>
      <c r="NU28" s="31" t="str">
        <f ca="1">IF(NT28="","",IF(OR(UnihockeyResultat[[#This Row],[Resultat]]=Stammdaten!$AX$22,UnihockeyResultat[[#This Row],[Resultat]]=Stammdaten!$AX$19),Stammdaten!$AX$19,IF(ISNA(INDEX(INDIRECT(NT28),MATCH(UnihockeyGerundet[[#This Row],[Rundung]],INDIRECT(NT28),NT$18))),IF(NT$18=-1,LARGE(INDIRECT(NT28),1),SMALL(INDIRECT(NT28),1)),INDEX(INDIRECT(NT28),MATCH(UnihockeyGerundet[[#This Row],[Rundung]],INDIRECT(NT28),NT$18)))))</f>
        <v/>
      </c>
      <c r="NW28" s="18" t="str">
        <f ca="1">IF(UnihockeySkalawert[[#This Row],[Skala-Wert]]="","",REPLACE(INDEX(StdDisziplinen[TabÜberschriftNote],NP$3),FIND("X",INDEX(StdDisziplinen[TabÜberschriftNote],NP$3),1),2,NS28))</f>
        <v/>
      </c>
      <c r="NX28" s="31" t="str">
        <f ca="1">IF(OR(NW28="",UnihockeySkalawert[[#This Row],[Skala-Wert]]=Stammdaten!$AX$19),"",INDEX(INDIRECT(NW28),MATCH(UnihockeySkalawert[[#This Row],[Skala-Wert]],INDIRECT(NT28),0)))</f>
        <v/>
      </c>
      <c r="NY28" s="31"/>
      <c r="NZ28" s="597"/>
      <c r="OA28" s="190"/>
      <c r="OB28" s="587">
        <f>IF(OB$16,IF(OC$16=0.5,MROUND(VolleyballResultat[[#This Row],[Resultat]],OC$16),ROUND(VolleyballResultat[[#This Row],[Resultat]],OC$16)),ROUNDDOWN(VolleyballResultat[[#This Row],[Resultat]],OC$16))</f>
        <v>0</v>
      </c>
      <c r="OC28" s="191" t="str">
        <f>IF(OR(Geschlecht[[#This Row],[Geschlecht (Skala)]]="",NZ$16=""),"",MID(Geschlecht[[#This Row],[Geschlecht (Skala)]],1,1)&amp;MID(NZ$16,1,1))</f>
        <v/>
      </c>
      <c r="OD28" s="190" t="str">
        <f>IF(OR(OC28="",VolleyballResultat[[#This Row],[Resultat]]=""),"",REPLACE(INDEX(StdDisziplinen[TabÜberschriftResultat],NZ$3),FIND("X",INDEX(StdDisziplinen[TabÜberschriftResultat],NZ$3),1),2,OC28))</f>
        <v/>
      </c>
      <c r="OE28" s="192" t="str">
        <f ca="1">IF(OD28="","",IF(OR(VolleyballResultat[[#This Row],[Resultat]]=Stammdaten!$AX$22,VolleyballResultat[[#This Row],[Resultat]]=Stammdaten!$AX$19),Stammdaten!$AX$19,IF(ISNA(INDEX(INDIRECT(OD28),MATCH(VolleyballGerundet[[#This Row],[Rundung]],INDIRECT(OD28),OD$18))),IF(OD$18=-1,LARGE(INDIRECT(OD28),1),SMALL(INDIRECT(OD28),1)),INDEX(INDIRECT(OD28),MATCH(VolleyballGerundet[[#This Row],[Rundung]],INDIRECT(OD28),OD$18)))))</f>
        <v/>
      </c>
      <c r="OG28" s="18" t="str">
        <f ca="1">IF(VolleyballSkalawert[[#This Row],[Skala-Wert]]="","",REPLACE(INDEX(StdDisziplinen[TabÜberschriftNote],NZ$3),FIND("X",INDEX(StdDisziplinen[TabÜberschriftNote],NZ$3),1),2,OC28))</f>
        <v/>
      </c>
      <c r="OH28" s="31" t="str">
        <f ca="1">IF(OR(OG28="",VolleyballSkalawert[[#This Row],[Skala-Wert]]=Stammdaten!$AX$19),"",INDEX(INDIRECT(OG28),MATCH(VolleyballSkalawert[[#This Row],[Skala-Wert]],INDIRECT(OD28),0)))</f>
        <v/>
      </c>
      <c r="OI28" s="45"/>
      <c r="OJ28" s="31">
        <f ca="1">IF(BasketballSkalawert[[#This Row],[Skala-Wert]]=$A$3,$A$2,IF(BasketballNote[[#This Row],[Note]]="",0,BasketballNote[[#This Row],[Note]]))</f>
        <v>0</v>
      </c>
      <c r="OK28" s="31">
        <f ca="1">IF(FussballSkalawert[[#This Row],[Skala-Wert]]=$A$3,$A$2,IF(FussballNote[[#This Row],[Note]]="",0,FussballNote[[#This Row],[Note]]))</f>
        <v>0</v>
      </c>
      <c r="OL28" s="31">
        <f ca="1">IF(HandballSkalawert[[#This Row],[Skala-Wert]]=$A$3,$A$2,IF(HandballNote[[#This Row],[Note]]="",0,HandballNote[[#This Row],[Note]]))</f>
        <v>0</v>
      </c>
      <c r="OM28" s="31">
        <f ca="1">IF(UnihockeySkalawert[[#This Row],[Skala-Wert]]=$A$3,$A$2,IF(UnihockeyNote[[#This Row],[Note]]="",0,UnihockeyNote[[#This Row],[Note]]))</f>
        <v>0</v>
      </c>
      <c r="ON28" s="31">
        <f ca="1">IF(VolleyballSkalawert[[#This Row],[Skala-Wert]]=$A$3,$A$2,IF(VolleyballNote[[#This Row],[Note]]="",0,VolleyballNote[[#This Row],[Note]]))</f>
        <v>0</v>
      </c>
      <c r="OO28" s="202">
        <f t="shared" ca="1" si="28"/>
        <v>0</v>
      </c>
      <c r="OP28" s="202">
        <f t="shared" ca="1" si="29"/>
        <v>0</v>
      </c>
      <c r="OQ28" s="202">
        <f t="shared" ca="1" si="143"/>
        <v>0</v>
      </c>
      <c r="OR28" s="96" t="str">
        <f t="shared" ca="1" si="144"/>
        <v>!</v>
      </c>
      <c r="OS28" s="96" t="str">
        <f t="shared" ca="1" si="30"/>
        <v>!</v>
      </c>
      <c r="OT28" s="96" t="str">
        <f t="shared" ca="1" si="31"/>
        <v>!</v>
      </c>
      <c r="OU28" s="96" t="str">
        <f ca="1">IF(NOT(OQ28),INDEX(StdFehler[StdFehler],4),IF(COUNTIF(OR28:OT28,$A$2)&gt;=$OQ$13,$A$3,ROUND(AVERAGE(OR28:OT28)/$RX$4,0)*$RX$4))</f>
        <v>Zu wenige Noten</v>
      </c>
      <c r="OV28" s="244" t="str">
        <f t="shared" ca="1" si="145"/>
        <v>nd</v>
      </c>
      <c r="OW28" s="244" t="str">
        <f t="shared" ca="1" si="146"/>
        <v>nd</v>
      </c>
      <c r="OX28" s="244" t="str">
        <f t="shared" ca="1" si="147"/>
        <v>nd</v>
      </c>
      <c r="OY28" s="244" t="str">
        <f t="shared" ca="1" si="148"/>
        <v>nd</v>
      </c>
      <c r="OZ28" s="244" t="str">
        <f t="shared" ca="1" si="149"/>
        <v>nd</v>
      </c>
      <c r="PA28" s="202" t="b">
        <f t="shared" ca="1" si="150"/>
        <v>0</v>
      </c>
      <c r="PB28" s="202">
        <f t="shared" ca="1" si="151"/>
        <v>1</v>
      </c>
      <c r="PC28" s="202">
        <f t="shared" ca="1" si="152"/>
        <v>0</v>
      </c>
      <c r="PD28" s="96" t="str">
        <f t="shared" ca="1" si="153"/>
        <v/>
      </c>
      <c r="PE28" s="96" t="str">
        <f t="shared" ca="1" si="154"/>
        <v/>
      </c>
      <c r="PF28" s="200">
        <f t="shared" ca="1" si="155"/>
        <v>0</v>
      </c>
      <c r="PG28" s="202" t="str">
        <f t="shared" ca="1" si="156"/>
        <v/>
      </c>
      <c r="PH28" s="200" t="str">
        <f t="shared" ca="1" si="157"/>
        <v/>
      </c>
      <c r="PI28" s="200" t="str">
        <f t="shared" ca="1" si="158"/>
        <v/>
      </c>
      <c r="PJ28" s="200" t="str">
        <f t="shared" ca="1" si="159"/>
        <v/>
      </c>
      <c r="PK28" s="242" t="str">
        <f t="shared" ca="1" si="160"/>
        <v/>
      </c>
      <c r="PL28" s="242" t="str">
        <f t="shared" ca="1" si="161"/>
        <v/>
      </c>
      <c r="PM28" s="242" t="str">
        <f t="shared" ca="1" si="162"/>
        <v/>
      </c>
      <c r="PN28" s="242" t="str">
        <f t="shared" ca="1" si="163"/>
        <v>Erste Spielsportart</v>
      </c>
      <c r="PO28" s="242" t="str">
        <f ca="1">IF(PN28=$PM$11,Stammdaten!$AY$27,IF(PR28=$A$2,TRIM(Stammdaten!$AX$25),""))</f>
        <v>nicht durchgeführt</v>
      </c>
      <c r="PP28" s="242" t="str">
        <f t="shared" ca="1" si="164"/>
        <v/>
      </c>
      <c r="PQ28" s="202" t="str">
        <f t="shared" ca="1" si="165"/>
        <v>Erste SpielsportartResultat[@Resultat]</v>
      </c>
      <c r="PR28" s="98" t="str">
        <f t="shared" ca="1" si="166"/>
        <v/>
      </c>
      <c r="PS28" s="202" t="str">
        <f t="shared" ca="1" si="167"/>
        <v/>
      </c>
      <c r="PT28" s="202" t="str">
        <f t="shared" ca="1" si="168"/>
        <v>Erste SpielsportartSkalawert[@[Skala-Wert]]</v>
      </c>
      <c r="PU28" s="98" t="str">
        <f t="shared" ca="1" si="169"/>
        <v/>
      </c>
      <c r="PV28" s="202" t="str">
        <f t="shared" ca="1" si="170"/>
        <v/>
      </c>
      <c r="PW28" s="202" t="str">
        <f t="shared" ca="1" si="171"/>
        <v/>
      </c>
      <c r="PX28" s="202" t="str">
        <f t="shared" ca="1" si="172"/>
        <v>StdDisziplinen[MaxTextSt]</v>
      </c>
      <c r="PY28" s="202" t="str">
        <f t="shared" ca="1" si="173"/>
        <v/>
      </c>
      <c r="PZ28" s="202" t="b">
        <f t="shared" ca="1" si="174"/>
        <v>0</v>
      </c>
      <c r="QA28" s="202" t="str">
        <f t="shared" ca="1" si="175"/>
        <v/>
      </c>
      <c r="QB28" s="202" t="str">
        <f t="shared" ca="1" si="32"/>
        <v/>
      </c>
      <c r="QC28" s="202" t="str">
        <f t="shared" ca="1" si="176"/>
        <v/>
      </c>
      <c r="QD28" s="202" t="str">
        <f t="shared" ca="1" si="177"/>
        <v/>
      </c>
      <c r="QE28" s="242" t="str">
        <f t="shared" ca="1" si="178"/>
        <v/>
      </c>
      <c r="QF28" s="242" t="str">
        <f t="shared" ca="1" si="179"/>
        <v/>
      </c>
      <c r="QG28" s="242" t="str">
        <f t="shared" ca="1" si="180"/>
        <v>Zweite Spielsportart</v>
      </c>
      <c r="QH28" s="242" t="str">
        <f ca="1">IF(QG28=$QF$11,Stammdaten!$AY$27,IF(QK28=$A$2,TRIM(Stammdaten!$AX$25),""))</f>
        <v>nicht durchgeführt</v>
      </c>
      <c r="QI28" s="242" t="str">
        <f t="shared" ca="1" si="181"/>
        <v/>
      </c>
      <c r="QJ28" s="202" t="str">
        <f t="shared" ca="1" si="182"/>
        <v>Zweite SpielsportartResultat[@Resultat]</v>
      </c>
      <c r="QK28" s="98" t="str">
        <f t="shared" ca="1" si="183"/>
        <v/>
      </c>
      <c r="QL28" s="202" t="str">
        <f t="shared" ca="1" si="184"/>
        <v/>
      </c>
      <c r="QM28" s="202" t="str">
        <f t="shared" ca="1" si="185"/>
        <v>Zweite SpielsportartSkalawert[@[Skala-Wert]]</v>
      </c>
      <c r="QN28" s="98" t="str">
        <f t="shared" ca="1" si="186"/>
        <v/>
      </c>
      <c r="QO28" s="202" t="str">
        <f t="shared" ca="1" si="187"/>
        <v/>
      </c>
      <c r="QP28" s="202" t="str">
        <f t="shared" ca="1" si="188"/>
        <v/>
      </c>
      <c r="QQ28" s="202" t="str">
        <f t="shared" ca="1" si="189"/>
        <v>StdDisziplinen[MaxTextSt]</v>
      </c>
      <c r="QR28" s="202" t="str">
        <f t="shared" ca="1" si="190"/>
        <v/>
      </c>
      <c r="QS28" s="202" t="b">
        <f t="shared" ca="1" si="191"/>
        <v>0</v>
      </c>
      <c r="QT28" s="242" t="str">
        <f t="shared" ca="1" si="33"/>
        <v>Dritte Spielsportart</v>
      </c>
      <c r="QU28" s="242" t="str">
        <f ca="1">IF(QT28=$QT$11,MID(Stammdaten!$AX$27,2,LEN(Stammdaten!$AX$27)),IF(QX28=$A$2,TRIM(Stammdaten!$AX$25),""))</f>
        <v>nicht durchgeführt</v>
      </c>
      <c r="QV28" s="242" t="str">
        <f t="shared" ca="1" si="34"/>
        <v/>
      </c>
      <c r="QW28" s="202" t="str">
        <f t="shared" ca="1" si="192"/>
        <v>Dritte SpielsportartResultat[@Resultat]</v>
      </c>
      <c r="QX28" s="98" t="str">
        <f t="shared" ca="1" si="193"/>
        <v/>
      </c>
      <c r="QY28" s="202" t="str">
        <f t="shared" ca="1" si="35"/>
        <v/>
      </c>
      <c r="QZ28" s="202" t="str">
        <f t="shared" ca="1" si="194"/>
        <v>Dritte SpielsportartSkalawert[@[Skala-Wert]]</v>
      </c>
      <c r="RA28" s="98" t="str">
        <f t="shared" ca="1" si="195"/>
        <v/>
      </c>
      <c r="RB28" s="202" t="str">
        <f t="shared" ca="1" si="36"/>
        <v/>
      </c>
      <c r="RC28" s="202" t="str">
        <f t="shared" ca="1" si="196"/>
        <v/>
      </c>
      <c r="RD28" s="202" t="str">
        <f t="shared" ca="1" si="197"/>
        <v>StdDisziplinen[MaxTextSt]</v>
      </c>
      <c r="RE28" s="202" t="str">
        <f t="shared" ca="1" si="37"/>
        <v/>
      </c>
      <c r="RF28" s="244">
        <f t="shared" ca="1" si="38"/>
        <v>99</v>
      </c>
      <c r="RG28" s="244">
        <f t="shared" ca="1" si="39"/>
        <v>99</v>
      </c>
      <c r="RH28" s="244">
        <f t="shared" ca="1" si="40"/>
        <v>99</v>
      </c>
      <c r="RI28" s="244">
        <f t="shared" ca="1" si="41"/>
        <v>99</v>
      </c>
      <c r="RJ28" s="244">
        <f t="shared" ca="1" si="42"/>
        <v>99</v>
      </c>
      <c r="RK28" s="244">
        <f t="shared" ca="1" si="198"/>
        <v>99</v>
      </c>
      <c r="RL28" s="244">
        <f t="shared" ca="1" si="199"/>
        <v>99</v>
      </c>
      <c r="RM28" s="244">
        <f t="shared" ca="1" si="200"/>
        <v>99</v>
      </c>
      <c r="RN28" s="244">
        <f t="shared" ca="1" si="201"/>
        <v>99</v>
      </c>
      <c r="RO28" s="244">
        <f t="shared" ca="1" si="202"/>
        <v>99</v>
      </c>
      <c r="RP28" s="202" t="str">
        <f t="shared" ca="1" si="43"/>
        <v>Zu wenige Noten</v>
      </c>
      <c r="RQ28" s="202" t="str">
        <f t="shared" ca="1" si="203"/>
        <v>Zu wenige Noten</v>
      </c>
      <c r="RR28" s="202" t="str">
        <f t="shared" ca="1" si="203"/>
        <v>Zu wenige Noten</v>
      </c>
      <c r="RS28" s="202" t="str">
        <f t="shared" ca="1" si="204"/>
        <v>Zu wenige Noten</v>
      </c>
      <c r="RT28" s="202" t="str">
        <f t="shared" ca="1" si="204"/>
        <v>Zu wenige Noten</v>
      </c>
      <c r="RU28" s="202" t="str">
        <f t="shared" ca="1" si="205"/>
        <v>Zu wenige Noten</v>
      </c>
      <c r="RV28" s="202" t="str">
        <f t="shared" ca="1" si="206"/>
        <v>Zu wenige Noten</v>
      </c>
      <c r="RW28" s="31"/>
      <c r="RX28" s="56" t="str">
        <f t="shared" ca="1" si="44"/>
        <v>Zu wenige Noten</v>
      </c>
      <c r="RY28" s="31"/>
      <c r="RZ28" s="31" t="str">
        <f t="shared" ca="1" si="45"/>
        <v>Zu wenige Noten</v>
      </c>
      <c r="SA28" s="31" t="str">
        <f t="shared" ca="1" si="46"/>
        <v>Zu wenige Noten</v>
      </c>
      <c r="SB28" s="45" t="str">
        <f t="shared" ca="1" si="47"/>
        <v>Zu wenige Noten</v>
      </c>
      <c r="SC28" s="31" t="str">
        <f t="shared" ca="1" si="207"/>
        <v>Zu wenige Noten</v>
      </c>
      <c r="SD28" s="31" t="str">
        <f t="shared" ca="1" si="208"/>
        <v>Zu wenige Noten</v>
      </c>
      <c r="SE28" s="31" t="str">
        <f t="shared" ca="1" si="48"/>
        <v>Zu wenige Noten</v>
      </c>
      <c r="SF28" s="31" t="str">
        <f t="shared" ca="1" si="209"/>
        <v>Zu wenige Noten</v>
      </c>
      <c r="SG28" s="31" t="str">
        <f t="shared" ca="1" si="48"/>
        <v>Zu wenige Noten</v>
      </c>
      <c r="SH28" s="36">
        <f t="shared" ca="1" si="210"/>
        <v>0</v>
      </c>
      <c r="SI28" s="36">
        <f t="shared" ca="1" si="211"/>
        <v>0</v>
      </c>
      <c r="SJ28" s="36">
        <f t="shared" ca="1" si="212"/>
        <v>0</v>
      </c>
      <c r="SK28" s="31">
        <f t="shared" ca="1" si="213"/>
        <v>99</v>
      </c>
      <c r="SL28" s="31">
        <f t="shared" ca="1" si="214"/>
        <v>99</v>
      </c>
      <c r="SM28" s="36" t="str">
        <f t="shared" ca="1" si="215"/>
        <v>99.0</v>
      </c>
      <c r="SN28" s="31">
        <f t="shared" ca="1" si="216"/>
        <v>99</v>
      </c>
      <c r="SO28" s="36" t="str">
        <f ca="1">IF(NOT(SJ28),INDEX(StdFehler[StdFehler],4),IF(SI28=$SJ$13,$A$3,CONCATENATE(TEXT(SK28,"#.0"),", ",TEXT(SL28,"#.0"),", ",SM28,", ",TEXT(SN28,"#.0"))))</f>
        <v>Zu wenige Noten</v>
      </c>
      <c r="SP28" s="36" t="str">
        <f t="shared" ca="1" si="49"/>
        <v>Zu wenige Noten</v>
      </c>
      <c r="SQ28" s="36" t="str">
        <f t="shared" ca="1" si="49"/>
        <v>Zu wenige Noten</v>
      </c>
      <c r="SR28" s="36" t="str">
        <f t="shared" ca="1" si="49"/>
        <v>Zu wenige Noten</v>
      </c>
      <c r="SS28" s="36" t="str">
        <f t="shared" ca="1" si="49"/>
        <v>Zu wenige Noten</v>
      </c>
      <c r="ST28" s="36" t="str">
        <f t="shared" ca="1" si="217"/>
        <v>Zu wenige Noten</v>
      </c>
      <c r="SU28" s="36"/>
      <c r="SV28" s="214" t="str">
        <f t="shared" si="218"/>
        <v>D</v>
      </c>
      <c r="SW28" s="36"/>
      <c r="SX28" s="214" t="str">
        <f t="shared" si="219"/>
        <v>D</v>
      </c>
      <c r="SY28" s="36"/>
      <c r="SZ28" s="214" t="str">
        <f t="shared" si="220"/>
        <v>D</v>
      </c>
      <c r="TA28" s="36"/>
      <c r="TB28" s="214" t="str">
        <f t="shared" si="221"/>
        <v>D</v>
      </c>
      <c r="TC28" s="31"/>
      <c r="TD28" s="36" t="str">
        <f t="shared" ca="1" si="222"/>
        <v>Zu wenige Noten</v>
      </c>
      <c r="TE28" s="31"/>
      <c r="TF28" s="193" t="str">
        <f ca="1">IF(NOT(SJ28),INDEX(StdFehler[StdFehler],4),IF(SI28=$TF$4,$A$3,ROUND(AVERAGE(RZ28:SC28)/$TF$5,0)*$TF$5))</f>
        <v>Zu wenige Noten</v>
      </c>
      <c r="TH28" s="595" t="str">
        <f>IF(OR($TH$18=Stammdaten!$AX$20,$TH$18=""),Stammdaten!$AX$20,$TH$18)</f>
        <v>Disziplin</v>
      </c>
      <c r="TI28" s="33"/>
      <c r="TJ28" s="33" t="str">
        <f>IF(OR(Geschlecht[[#This Row],[Geschlecht (Skala)]]="",TH28="",TH28=Stammdaten!$AX$20),"",REPLACE(INDEX(StdDisziplinen[TabÜberschriftResultat],TH$3),FIND("XX",INDEX(StdDisziplinen[TabÜberschriftResultat],TH$3),1),2,Geschlecht[[#This Row],[Geschlecht (Skala)]]))</f>
        <v/>
      </c>
      <c r="TK28" s="596"/>
      <c r="TM28" s="37"/>
      <c r="TN28" s="40"/>
      <c r="TO28" s="587">
        <f>IF(TO$16,IF(TP$16=0.5,MROUND(SchwimmenResultat[[#This Row],[Resultat]],TP$16),ROUND(SchwimmenResultat[[#This Row],[Resultat]],TP$16)),ROUNDDOWN(SchwimmenResultat[[#This Row],[Resultat]],TP$16))</f>
        <v>0</v>
      </c>
      <c r="TP28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8" s="153" t="str">
        <f ca="1">IF(TP28="","",IF(OR(SchwimmenResultat[[#This Row],[Resultat]]=Stammdaten!$AX$22,SchwimmenResultat[[#This Row],[Resultat]]=Stammdaten!$AX$19),Stammdaten!$AX$19,IF(ISNA(INDEX(INDIRECT(TP28),MATCH(SchwimmenGerundet[[#This Row],[Rundung]],INDIRECT(TP28),TP$18))),IF(TP$18=-1,LARGE(INDIRECT(TP28),1),SMALL(INDIRECT(TP28),1)),INDEX(INDIRECT(TP28),MATCH(SchwimmenGerundet[[#This Row],[Rundung]],INDIRECT(TP28),TP$18)))))</f>
        <v/>
      </c>
      <c r="TR28" s="33" t="str">
        <f>IF(OR(TP28="",SchwimmenResultat[[#This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8" s="33"/>
      <c r="TT28" s="36" t="str">
        <f ca="1">IF(OR(TR28="",SchwimmenSkalawert[[#This Row],[Skala-Wert]]=Stammdaten!$AX$19),"",INDEX(INDIRECT(TR28),MATCH(SchwimmenSkalawert[[#This Row],[Skala-Wert]],INDIRECT(TP28),0)))</f>
        <v/>
      </c>
      <c r="TU28" s="36"/>
      <c r="TV28" s="190" t="str">
        <f>IF(ZwölfMinLaufHalleResultat[[#This Row],[Resultat]]=0,"",ZwölfMinLaufHalleResultat[[#This Row],[Resultat]])</f>
        <v/>
      </c>
      <c r="TW28" s="190"/>
      <c r="TX28" s="31" t="str">
        <f ca="1">ZwölfMinLaufHalleSkalawert[[#This Row],[Skala-Wert]]</f>
        <v/>
      </c>
      <c r="TZ28" s="31" t="str">
        <f ca="1">ZwölfMinLaufHalleNote[[#This Row],[Note]]</f>
        <v/>
      </c>
      <c r="UA28" s="31"/>
      <c r="UB28" s="190" t="str">
        <f>IF(ZwölfMinLaufimFreienResultat[[#This Row],[Resultat]]=0,"",ZwölfMinLaufimFreienResultat[[#This Row],[Resultat]])</f>
        <v/>
      </c>
      <c r="UC28" s="190"/>
      <c r="UD28" s="192" t="str">
        <f ca="1">ZwölfMinLaufimFreienSkalawert[[#This Row],[Skala-Wert]]</f>
        <v/>
      </c>
      <c r="UF28" s="31" t="str">
        <f ca="1">ZwölfMinLaufimFreienNote[[#This Row],[Note]]</f>
        <v/>
      </c>
      <c r="UG28" s="31"/>
      <c r="UH28" s="597"/>
      <c r="UI28" s="190"/>
      <c r="UJ28" s="587">
        <f>IF(UJ$16,IF(UK$16=0.5,MROUND(BeweglichkeitResultat[[#This Row],[Resultat]],UK$16),ROUND(BeweglichkeitResultat[[#This Row],[Resultat]],UK$16)),ROUNDDOWN(BeweglichkeitResultat[[#This Row],[Resultat]],UK$16))</f>
        <v>0</v>
      </c>
      <c r="UK28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8" s="192" t="str">
        <f ca="1">IF(UK28="","",IF(OR(BeweglichkeitResultat[[#This Row],[Resultat]]=Stammdaten!$AX$22,BeweglichkeitResultat[[#This Row],[Resultat]]=Stammdaten!$AX$19),Stammdaten!$AX$19,IF(ISNA(INDEX(INDIRECT(UK28),MATCH(BeweglichkeitGerundet[[#This Row],[Rundung]],INDIRECT(UK28),UK$18))),IF(UK$18=-1,LARGE(INDIRECT(UK28),1),SMALL(INDIRECT(UK28),1)),INDEX(INDIRECT(UK28),MATCH(BeweglichkeitGerundet[[#This Row],[Rundung]],INDIRECT(UK28),UK$18)))))</f>
        <v/>
      </c>
      <c r="UN28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8" s="36" t="str">
        <f ca="1">IF(OR(UK28="",BeweglichkeitSkalawert[[#This Row],[Skala-Wert]]=Stammdaten!$AX$19),"",INDEX(INDIRECT(UN28),MATCH(BeweglichkeitSkalawert[[#This Row],[Skala-Wert]],INDIRECT(UK28),0)))</f>
        <v/>
      </c>
      <c r="UP28" s="31"/>
      <c r="UQ28" s="597"/>
      <c r="UR28" s="190"/>
      <c r="US28" s="587">
        <f>IF(US$16,IF(UT$16=0.5,MROUND(RumpfkraftResultat[[#This Row],[Resultat]],UT$16),ROUND(RumpfkraftResultat[[#This Row],[Resultat]],UT$16)),ROUNDDOWN(RumpfkraftResultat[[#This Row],[Resultat]],UT$16))</f>
        <v>0</v>
      </c>
      <c r="UT28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8" s="192" t="str">
        <f ca="1">IF(UT28="","",IF(OR(RumpfkraftResultat[[#This Row],[Resultat]]=Stammdaten!$AX$22,RumpfkraftResultat[[#This Row],[Resultat]]=Stammdaten!$AX$19),Stammdaten!$AX$19,IF(ISNA(INDEX(INDIRECT(UT28),MATCH(RumpfkraftGerundet[[#This Row],[Rundung]],INDIRECT(UT28),UT$18))),IF(UT$18=-1,LARGE(INDIRECT(UT28),1),SMALL(INDIRECT(UT28),1)),INDEX(INDIRECT(UT28),MATCH(RumpfkraftGerundet[[#This Row],[Rundung]],INDIRECT(UT28),UT$18)))))</f>
        <v/>
      </c>
      <c r="UW28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8" s="36" t="str">
        <f ca="1">IF(OR(UT28="",RumpfkraftSkalawert[[#This Row],[Skala-Wert]]=Stammdaten!$AX$19),"",INDEX(INDIRECT(UW28),MATCH(RumpfkraftSkalawert[[#This Row],[Skala-Wert]],INDIRECT(UT28),0)))</f>
        <v/>
      </c>
      <c r="UY28" s="31"/>
      <c r="UZ28" s="190" t="str">
        <f>IF(SechzigmLaufResultat[[#This Row],[Resultat]]=0,"",SechzigmLaufResultat[[#This Row],[Resultat]])</f>
        <v/>
      </c>
      <c r="VA28" s="190"/>
      <c r="VB28" s="45" t="str">
        <f ca="1">SechzigmLaufSkalawert[[#This Row],[Skala-Wert]]</f>
        <v/>
      </c>
      <c r="VD28" s="31" t="str">
        <f ca="1">SechzigmLaufNote[[#This Row],[Note]]</f>
        <v/>
      </c>
      <c r="VE28" s="31"/>
      <c r="VF28" s="190" t="str">
        <f>IF(AchtzigmLaufResultat[[#This Row],[Resultat]]=0,"",AchtzigmLaufResultat[[#This Row],[Resultat]])</f>
        <v/>
      </c>
      <c r="VG28" s="190"/>
      <c r="VH28" s="45" t="str">
        <f ca="1">AchtzigmLaufSkalawert[[#This Row],[Skala-Wert]]</f>
        <v/>
      </c>
      <c r="VJ28" s="31" t="str">
        <f ca="1">AchtzigmLaufNote[[#This Row],[Note]]</f>
        <v/>
      </c>
      <c r="VK28" s="31"/>
      <c r="VL28" s="37"/>
      <c r="VM28" s="190"/>
      <c r="VN28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8" s="191" t="str">
        <f>IF(OR(Geschlecht[[#This Row],[Geschlecht (Skala)]]="",VL$16=""),"",MID(Geschlecht[[#This Row],[Geschlecht (Skala)]],1,1)&amp;MID(VL$16,1,1))</f>
        <v/>
      </c>
      <c r="VP28" s="190" t="str">
        <f>IF(OR(VO28="",KonditionsparcoursResultat[[#This Row],[Resultat]]=""),"",REPLACE(INDEX(StdDisziplinen[TabÜberschriftResultat],VL$3),FIND("X",INDEX(StdDisziplinen[TabÜberschriftResultat],VL$3),1),2,VO28))</f>
        <v/>
      </c>
      <c r="VQ28" s="192" t="str">
        <f ca="1">IF(VP28="","",IF(OR(KonditionsparcoursResultat[[#This Row],[Resultat]]=Stammdaten!$AX$22,KonditionsparcoursResultat[[#This Row],[Resultat]]=Stammdaten!$AX$19),Stammdaten!$AX$19,IF(ISNA(INDEX(INDIRECT(VP28),MATCH(KonditionsparcoursGerundet[[#This Row],[Rundung]],INDIRECT(VP28),VP$18))),IF(VP$18=-1,LARGE(INDIRECT(VP28),1),SMALL(INDIRECT(VP28),1)),INDEX(INDIRECT(VP28),MATCH(KonditionsparcoursGerundet[[#This Row],[Rundung]],INDIRECT(VP28),VP$18)))))</f>
        <v/>
      </c>
      <c r="VS28" s="18" t="str">
        <f ca="1">IF(KonditionsparcoursSkalawert[[#This Row],[Skala-Wert]]="","",REPLACE(INDEX(StdDisziplinen[TabÜberschriftNote],VL$3),FIND("X",INDEX(StdDisziplinen[TabÜberschriftNote],VL$3),1),2,VO28))</f>
        <v/>
      </c>
      <c r="VT28" s="31" t="str">
        <f ca="1">IF(OR(VS28="",KonditionsparcoursSkalawert[[#This Row],[Skala-Wert]]=Stammdaten!$AX$19),"",INDEX(INDIRECT(VS28),MATCH(KonditionsparcoursSkalawert[[#This Row],[Skala-Wert]],INDIRECT(VP28),0)))</f>
        <v/>
      </c>
      <c r="VU28" s="22"/>
    </row>
    <row r="29" spans="1:593" x14ac:dyDescent="0.3">
      <c r="A29" s="30">
        <v>11</v>
      </c>
      <c r="B29" s="589"/>
      <c r="C29" s="589"/>
      <c r="E29" s="591"/>
      <c r="G29" s="37"/>
      <c r="H29" s="190"/>
      <c r="I29" s="154">
        <f>IF(I$16,IF(J$16=0.5,MROUND(SechzigmLaufResultat[[#This Row],[Resultat]],J$16),ROUND(SechzigmLaufResultat[[#This Row],[Resultat]],J$16)),ROUNDDOWN(SechzigmLaufResultat[[#This Row],[Resultat]],J$16))</f>
        <v>0</v>
      </c>
      <c r="J29" s="191" t="str">
        <f>IF(OR(Geschlecht[[#This Row],[Geschlecht (Skala)]]="",G$16=""),"",MID(Geschlecht[[#This Row],[Geschlecht (Skala)]],1,1)&amp;MID(G$16,1,1))</f>
        <v/>
      </c>
      <c r="K29" s="190" t="str">
        <f>IF(OR(J29="",SechzigmLaufResultat[[#This Row],[Resultat]]=""),"",REPLACE(INDEX(StdDisziplinen[TabÜberschriftResultat],G$3),FIND("X",INDEX(StdDisziplinen[TabÜberschriftResultat],G$3),1),2,J29))</f>
        <v/>
      </c>
      <c r="L29" s="45" t="str">
        <f ca="1">IF(K29="","",IF(OR(SechzigmLaufResultat[[#This Row],[Resultat]]=Stammdaten!$AX$22,SechzigmLaufResultat[[#This Row],[Resultat]]=Stammdaten!$AX$19),Stammdaten!$AX$19,IF(ISNA(INDEX(INDIRECT(K29),MATCH(SechzigmLaufGerundet[[#This Row],[Rundung]],INDIRECT(K29),K$18))),IF(K$18=-1,LARGE(INDIRECT(K29),1),SMALL(INDIRECT(K29),1)),INDEX(INDIRECT(K29),MATCH(SechzigmLaufGerundet[[#This Row],[Rundung]],INDIRECT(K29),K$18)))))</f>
        <v/>
      </c>
      <c r="N29" s="18" t="str">
        <f ca="1">IF(SechzigmLaufSkalawert[[#This Row],[Skala-Wert]]="","",REPLACE(INDEX(StdDisziplinen[TabÜberschriftNote],G$3),FIND("X",INDEX(StdDisziplinen[TabÜberschriftNote],G$3),1),2,J29))</f>
        <v/>
      </c>
      <c r="O29" s="31" t="str">
        <f ca="1">IF(OR(N29="",SechzigmLaufSkalawert[[#This Row],[Skala-Wert]]=Stammdaten!$AX$19),"",INDEX(INDIRECT(N29),MATCH(SechzigmLaufSkalawert[[#This Row],[Skala-Wert]],INDIRECT(K29),0)))</f>
        <v/>
      </c>
      <c r="P29" s="31"/>
      <c r="Q29" s="37"/>
      <c r="R29" s="190"/>
      <c r="S29" s="154">
        <f>IF(S$16,IF(T$16=0.5,MROUND(AchtzigmLaufResultat[[#This Row],[Resultat]],T$16),ROUND(AchtzigmLaufResultat[[#This Row],[Resultat]],T$16)),ROUNDDOWN(AchtzigmLaufResultat[[#This Row],[Resultat]],T$16))</f>
        <v>0</v>
      </c>
      <c r="T29" s="191" t="str">
        <f>IF(OR(Geschlecht[[#This Row],[Geschlecht (Skala)]]="",Q$16=""),"",MID(Geschlecht[[#This Row],[Geschlecht (Skala)]],1,1)&amp;MID(Q$16,1,1))</f>
        <v/>
      </c>
      <c r="U29" s="190" t="str">
        <f>IF(OR(T29="",AchtzigmLaufResultat[[#This Row],[Resultat]]=""),"",REPLACE(INDEX(StdDisziplinen[TabÜberschriftResultat],Q$3),FIND("X",INDEX(StdDisziplinen[TabÜberschriftResultat],Q$3),1),2,T29))</f>
        <v/>
      </c>
      <c r="V29" s="45" t="str">
        <f ca="1">IF(U29="","",IF(OR(AchtzigmLaufResultat[[#This Row],[Resultat]]=Stammdaten!$AX$22,AchtzigmLaufResultat[[#This Row],[Resultat]]=Stammdaten!$AX$19),Stammdaten!$AX$19,IF(ISNA(INDEX(INDIRECT(U29),MATCH(AchtzigmLaufGerundet[[#This Row],[Rundung]],INDIRECT(U29),U$18))),IF(U$18=-1,LARGE(INDIRECT(U29),1),SMALL(INDIRECT(U29),1)),INDEX(INDIRECT(U29),MATCH(AchtzigmLaufGerundet[[#This Row],[Rundung]],INDIRECT(U29),U$18)))))</f>
        <v/>
      </c>
      <c r="X29" s="18" t="str">
        <f ca="1">IF(AchtzigmLaufSkalawert[[#This Row],[Skala-Wert]]="","",REPLACE(INDEX(StdDisziplinen[TabÜberschriftNote],Q$3),FIND("X",INDEX(StdDisziplinen[TabÜberschriftNote],Q$3),1),2,T29))</f>
        <v/>
      </c>
      <c r="Y29" s="31" t="str">
        <f ca="1">IF(OR(X29="",AchtzigmLaufSkalawert[[#This Row],[Skala-Wert]]=Stammdaten!$AX$19),"",INDEX(INDIRECT(X29),MATCH(AchtzigmLaufSkalawert[[#This Row],[Skala-Wert]],INDIRECT(U29),0)))</f>
        <v/>
      </c>
      <c r="Z29" s="31"/>
      <c r="AA29" s="37"/>
      <c r="AB29" s="190"/>
      <c r="AC29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29" s="191" t="str">
        <f>IF(OR(Geschlecht[[#This Row],[Geschlecht (Skala)]]="",AA$16=""),"",MID(Geschlecht[[#This Row],[Geschlecht (Skala)]],1,1)&amp;MID(AA$16,1,1))</f>
        <v/>
      </c>
      <c r="AE29" s="190" t="str">
        <f>IF(OR(AD29="",ZwölfMinLaufHalleResultat[[#This Row],[Resultat]]=""),"",REPLACE(INDEX(StdDisziplinen[TabÜberschriftResultat],AA$3),FIND("X",INDEX(StdDisziplinen[TabÜberschriftResultat],AA$3),1),2,AD29))</f>
        <v/>
      </c>
      <c r="AF29" s="31" t="str">
        <f ca="1">IF(AE29="","",IF(OR(ZwölfMinLaufHalleResultat[[#This Row],[Resultat]]=Stammdaten!$AX$22,ZwölfMinLaufHalleResultat[[#This Row],[Resultat]]=Stammdaten!$AX$19),Stammdaten!$AX$19,IF(ISNA(INDEX(INDIRECT(AE29),MATCH(ZwölfMinLaufHalleGerundet[[#This Row],[Rundung]],INDIRECT(AE29),AE$18))),IF(AE$18=-1,LARGE(INDIRECT(AE29),1),SMALL(INDIRECT(AE29),1)),INDEX(INDIRECT(AE29),MATCH(ZwölfMinLaufHalleGerundet[[#This Row],[Rundung]],INDIRECT(AE29),AE$18)))))</f>
        <v/>
      </c>
      <c r="AH29" s="18" t="str">
        <f ca="1">IF(ZwölfMinLaufHalleSkalawert[[#This Row],[Skala-Wert]]="","",REPLACE(INDEX(StdDisziplinen[TabÜberschriftNote],AA$3),FIND("X",INDEX(StdDisziplinen[TabÜberschriftNote],AA$3),1),2,AD29))</f>
        <v/>
      </c>
      <c r="AI29" s="31" t="str">
        <f ca="1">IF(OR(AH29="",ZwölfMinLaufHalleSkalawert[[#This Row],[Skala-Wert]]=Stammdaten!$AX$19),"",INDEX(INDIRECT(AH29),MATCH(ZwölfMinLaufHalleSkalawert[[#This Row],[Skala-Wert]],INDIRECT(AE29),0)))</f>
        <v/>
      </c>
      <c r="AJ29" s="31"/>
      <c r="AK29" s="597"/>
      <c r="AL29" s="190"/>
      <c r="AM29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29" s="191" t="str">
        <f>IF(OR(Geschlecht[[#This Row],[Geschlecht (Skala)]]="",AK$16=""),"",MID(Geschlecht[[#This Row],[Geschlecht (Skala)]],1,1)&amp;MID(AK$16,1,1))</f>
        <v/>
      </c>
      <c r="AO29" s="190" t="str">
        <f>IF(OR(AN29="",ZwölfMinLaufimFreienResultat[[#This Row],[Resultat]]=""),"",REPLACE(INDEX(StdDisziplinen[TabÜberschriftResultat],AK$3),FIND("X",INDEX(StdDisziplinen[TabÜberschriftResultat],AK$3),1),2,AN29))</f>
        <v/>
      </c>
      <c r="AP29" s="192" t="str">
        <f ca="1">IF(AO29="","",IF(OR(ZwölfMinLaufimFreienResultat[[#This Row],[Resultat]]=Stammdaten!$AX$22,ZwölfMinLaufimFreienResultat[[#This Row],[Resultat]]=Stammdaten!$AX$19),Stammdaten!$AX$19,IF(ISNA(INDEX(INDIRECT(AO29),MATCH(ZwölfMinLaufimFreienGerundet[[#This Row],[Rundung]],INDIRECT(AO29),AO$18))),IF(AO$18=-1,LARGE(INDIRECT(AO29),1),SMALL(INDIRECT(AO29),1)),INDEX(INDIRECT(AO29),MATCH(ZwölfMinLaufimFreienGerundet[[#This Row],[Rundung]],INDIRECT(AO29),AO$18)))))</f>
        <v/>
      </c>
      <c r="AR29" s="18" t="str">
        <f ca="1">IF(ZwölfMinLaufimFreienSkalawert[[#This Row],[Skala-Wert]]="","",REPLACE(INDEX(StdDisziplinen[TabÜberschriftNote],AK$3),FIND("X",INDEX(StdDisziplinen[TabÜberschriftNote],AK$3),1),2,AN29))</f>
        <v/>
      </c>
      <c r="AS29" s="31" t="str">
        <f ca="1">IF(OR(AR29="",ZwölfMinLaufimFreienSkalawert[[#This Row],[Skala-Wert]]=Stammdaten!$AX$19),"",INDEX(INDIRECT(AR29),MATCH(ZwölfMinLaufimFreienSkalawert[[#This Row],[Skala-Wert]],INDIRECT(AO29),0)))</f>
        <v/>
      </c>
      <c r="AT29" s="31"/>
      <c r="AU29" s="597"/>
      <c r="AV29" s="190"/>
      <c r="AW29" s="587">
        <f>IF(AW$16,IF(AX$16=0.5,MROUND(HochsprungResultat[[#This Row],[Resultat]],AX$16),ROUND(HochsprungResultat[[#This Row],[Resultat]],AX$16)),ROUNDDOWN(HochsprungResultat[[#This Row],[Resultat]],AX$16))</f>
        <v>0</v>
      </c>
      <c r="AX29" s="191" t="str">
        <f>IF(OR(Geschlecht[[#This Row],[Geschlecht (Skala)]]="",AU$16=""),"",MID(Geschlecht[[#This Row],[Geschlecht (Skala)]],1,1)&amp;MID(AU$16,1,1))</f>
        <v/>
      </c>
      <c r="AY29" s="190" t="str">
        <f>IF(OR(AX29="",HochsprungResultat[[#This Row],[Resultat]]=""),"",REPLACE(INDEX(StdDisziplinen[TabÜberschriftResultat],AU$3),FIND("X",INDEX(StdDisziplinen[TabÜberschriftResultat],AU$3),1),2,AX29))</f>
        <v/>
      </c>
      <c r="AZ29" s="192" t="str">
        <f ca="1">IF(AY29="","",IF(OR(HochsprungResultat[[#This Row],[Resultat]]=Stammdaten!$AX$22,HochsprungResultat[[#This Row],[Resultat]]=Stammdaten!$AX$19),Stammdaten!$AX$19,IF(ISNA(INDEX(INDIRECT(AY29),MATCH(HochsprungGerundet[[#This Row],[Rundung]],INDIRECT(AY29),AY$18))),IF(AY$18=-1,LARGE(INDIRECT(AY29),1),SMALL(INDIRECT(AY29),1)),INDEX(INDIRECT(AY29),MATCH(HochsprungGerundet[[#This Row],[Rundung]],INDIRECT(AY29),AY$18)))))</f>
        <v/>
      </c>
      <c r="BB29" s="18" t="str">
        <f ca="1">IF(HochsprungSkalawert[[#This Row],[Skala-Wert]]="","",REPLACE(INDEX(StdDisziplinen[TabÜberschriftNote],AU$3),FIND("X",INDEX(StdDisziplinen[TabÜberschriftNote],AU$3),1),2,AX29))</f>
        <v/>
      </c>
      <c r="BC29" s="31" t="str">
        <f ca="1">IF(OR(BB29="",HochsprungSkalawert[[#This Row],[Skala-Wert]]=Stammdaten!$AX$19),"",INDEX(INDIRECT(BB29),MATCH(HochsprungSkalawert[[#This Row],[Skala-Wert]],INDIRECT(AY29),0)))</f>
        <v/>
      </c>
      <c r="BD29" s="31"/>
      <c r="BE29" s="597"/>
      <c r="BF29" s="190"/>
      <c r="BG29" s="587">
        <f>IF(BG$16,IF(BH$16=0.5,MROUND(WeitsprungResultat[[#This Row],[Resultat]],BH$16),ROUND(WeitsprungResultat[[#This Row],[Resultat]],BH$16)),ROUNDDOWN(WeitsprungResultat[[#This Row],[Resultat]],BH$16))</f>
        <v>0</v>
      </c>
      <c r="BH29" s="191" t="str">
        <f>IF(OR(Geschlecht[[#This Row],[Geschlecht (Skala)]]="",BE$16=""),"",MID(Geschlecht[[#This Row],[Geschlecht (Skala)]],1,1)&amp;MID(BE$16,1,1))</f>
        <v/>
      </c>
      <c r="BI29" s="190" t="str">
        <f>IF(OR(BH29="",WeitsprungResultat[[#This Row],[Resultat]]=""),"",REPLACE(INDEX(StdDisziplinen[TabÜberschriftResultat],BE$3),FIND("X",INDEX(StdDisziplinen[TabÜberschriftResultat],BE$3),1),2,BH29))</f>
        <v/>
      </c>
      <c r="BJ29" s="192" t="str">
        <f ca="1">IF(BI29="","",IF(OR(WeitsprungResultat[[#This Row],[Resultat]]=Stammdaten!$AX$22,WeitsprungResultat[[#This Row],[Resultat]]=Stammdaten!$AX$19),Stammdaten!$AX$19,IF(ISNA(INDEX(INDIRECT(BI29),MATCH(WeitsprungGerundet[[#This Row],[Rundung]],INDIRECT(BI29),BI$18))),IF(BI$18=-1,LARGE(INDIRECT(BI29),1),SMALL(INDIRECT(BI29),1)),INDEX(INDIRECT(BI29),MATCH(WeitsprungGerundet[[#This Row],[Rundung]],INDIRECT(BI29),BI$18)))))</f>
        <v/>
      </c>
      <c r="BL29" s="18" t="str">
        <f ca="1">IF(WeitsprungSkalawert[[#This Row],[Skala-Wert]]="","",REPLACE(INDEX(StdDisziplinen[TabÜberschriftNote],BE$3),FIND("X",INDEX(StdDisziplinen[TabÜberschriftNote],BE$3),1),2,BH29))</f>
        <v/>
      </c>
      <c r="BM29" s="31" t="str">
        <f ca="1">IF(OR(BL29="",WeitsprungSkalawert[[#This Row],[Skala-Wert]]=Stammdaten!$AX$19),"",INDEX(INDIRECT(BL29),MATCH(WeitsprungSkalawert[[#This Row],[Skala-Wert]],INDIRECT(BI29),0)))</f>
        <v/>
      </c>
      <c r="BN29" s="31"/>
      <c r="BO29" s="37"/>
      <c r="BP29" s="190"/>
      <c r="BQ29" s="154">
        <f>IF(BQ$16,IF(BR$16=0.5,MROUND(BallwurfResultat[[#This Row],[Resultat]],BR$16),ROUND(BallwurfResultat[[#This Row],[Resultat]],BR$16)),ROUNDDOWN(BallwurfResultat[[#This Row],[Resultat]],BR$16))</f>
        <v>0</v>
      </c>
      <c r="BR29" s="191" t="str">
        <f>IF(OR(Geschlecht[[#This Row],[Geschlecht (Skala)]]="",BO$16=""),"",MID(Geschlecht[[#This Row],[Geschlecht (Skala)]],1,1)&amp;MID(BO$16,1,1))</f>
        <v/>
      </c>
      <c r="BS29" s="190" t="str">
        <f>IF(OR(BR29="",BallwurfResultat[[#This Row],[Resultat]]=""),"",REPLACE(INDEX(StdDisziplinen[TabÜberschriftResultat],BO$3),FIND("X",INDEX(StdDisziplinen[TabÜberschriftResultat],BO$3),1),2,BR29))</f>
        <v/>
      </c>
      <c r="BT29" s="45" t="str">
        <f ca="1">IF(BS29="","",IF(OR(BallwurfResultat[[#This Row],[Resultat]]=Stammdaten!$AX$22,BallwurfResultat[[#This Row],[Resultat]]=Stammdaten!$AX$19),Stammdaten!$AX$19,IF(ISNA(INDEX(INDIRECT(BS29),MATCH(BallwurfGerundet[[#This Row],[Rundung]],INDIRECT(BS29),BS$18))),IF(BS$18=-1,LARGE(INDIRECT(BS29),1),SMALL(INDIRECT(BS29),1)),INDEX(INDIRECT(BS29),MATCH(BallwurfGerundet[[#This Row],[Rundung]],INDIRECT(BS29),BS$18)))))</f>
        <v/>
      </c>
      <c r="BV29" s="18" t="str">
        <f ca="1">IF(BallwurfSkalawert[[#This Row],[Skala-Wert]]="","",REPLACE(INDEX(StdDisziplinen[TabÜberschriftNote],BO$3),FIND("X",INDEX(StdDisziplinen[TabÜberschriftNote],BO$3),1),2,BR29))</f>
        <v/>
      </c>
      <c r="BW29" s="31" t="str">
        <f ca="1">IF(OR(BV29="",BallwurfSkalawert[[#This Row],[Skala-Wert]]=Stammdaten!$AX$19),"",INDEX(INDIRECT(BV29),MATCH(BallwurfSkalawert[[#This Row],[Skala-Wert]],INDIRECT(BS29),0)))</f>
        <v/>
      </c>
      <c r="BX29" s="31"/>
      <c r="BY29" s="598"/>
      <c r="BZ29" s="190"/>
      <c r="CA29" s="154">
        <f>IF(CA$16,IF(CB$16=0.5,MROUND(KugelstossenResultat[[#This Row],[Resultat]],CB$16),ROUND(KugelstossenResultat[[#This Row],[Resultat]],CB$16)),ROUNDDOWN(KugelstossenResultat[[#This Row],[Resultat]],CB$16))</f>
        <v>0</v>
      </c>
      <c r="CB29" s="191" t="str">
        <f>IF(OR(Geschlecht[[#This Row],[Geschlecht (Skala)]]="",BY$16=""),"",MID(Geschlecht[[#This Row],[Geschlecht (Skala)]],1,1)&amp;MID(BY$16,1,1))</f>
        <v/>
      </c>
      <c r="CC29" s="190" t="str">
        <f>IF(OR(CB29="",KugelstossenResultat[[#This Row],[Resultat]]=""),"",REPLACE(INDEX(StdDisziplinen[TabÜberschriftResultat],BY$3),FIND("X",INDEX(StdDisziplinen[TabÜberschriftResultat],BY$3),1),2,CB29))</f>
        <v/>
      </c>
      <c r="CD29" s="45" t="str">
        <f ca="1">IF(CC29="","",IF(OR(KugelstossenResultat[[#This Row],[Resultat]]=Stammdaten!$AX$22,KugelstossenResultat[[#This Row],[Resultat]]=Stammdaten!$AX$19),Stammdaten!$AX$19,IF(ISNA(INDEX(INDIRECT(CC29),MATCH(KugelstossenGerundet[[#This Row],[Rundung]],INDIRECT(CC29),CC$18))),IF(CC$18=-1,LARGE(INDIRECT(CC29),1),SMALL(INDIRECT(CC29),1)),INDEX(INDIRECT(CC29),MATCH(KugelstossenGerundet[[#This Row],[Rundung]],INDIRECT(CC29),CC$18)))))</f>
        <v/>
      </c>
      <c r="CF29" s="18" t="str">
        <f ca="1">IF(KugelstossenSkalawert[[#This Row],[Skala-Wert]]="","",REPLACE(INDEX(StdDisziplinen[TabÜberschriftNote],BY$3),FIND("X",INDEX(StdDisziplinen[TabÜberschriftNote],BY$3),1),2,CB29))</f>
        <v/>
      </c>
      <c r="CG29" s="31" t="str">
        <f ca="1">IF(OR(CF29="",KugelstossenSkalawert[[#This Row],[Skala-Wert]]=Stammdaten!$AX$19),"",INDEX(INDIRECT(CF29),MATCH(KugelstossenSkalawert[[#This Row],[Skala-Wert]],INDIRECT(CC29),0)))</f>
        <v/>
      </c>
      <c r="CH29" s="31"/>
      <c r="CI29" s="37"/>
      <c r="CJ29" s="190"/>
      <c r="CK29" s="154">
        <f>IF(CK$16,IF(CL$16=0.5,MROUND(SpeerwurfResultat[[#This Row],[Resultat]],CL$16),ROUND(SpeerwurfResultat[[#This Row],[Resultat]],CL$16)),ROUNDDOWN(SpeerwurfResultat[[#This Row],[Resultat]],CL$16))</f>
        <v>0</v>
      </c>
      <c r="CL29" s="191" t="str">
        <f>IF(OR(Geschlecht[[#This Row],[Geschlecht (Skala)]]="",CI$16=""),"",MID(Geschlecht[[#This Row],[Geschlecht (Skala)]],1,1)&amp;MID(CI$16,1,1))</f>
        <v/>
      </c>
      <c r="CM29" s="190" t="str">
        <f>IF(OR(CL29="",SpeerwurfResultat[[#This Row],[Resultat]]=""),"",REPLACE(INDEX(StdDisziplinen[TabÜberschriftResultat],CI$3),FIND("X",INDEX(StdDisziplinen[TabÜberschriftResultat],CI$3),1),2,CL29))</f>
        <v/>
      </c>
      <c r="CN29" s="45" t="str">
        <f ca="1">IF(CM29="","",IF(OR(SpeerwurfResultat[[#This Row],[Resultat]]=Stammdaten!$AX$22,SpeerwurfResultat[[#This Row],[Resultat]]=Stammdaten!$AX$19),Stammdaten!$AX$19,IF(ISNA(INDEX(INDIRECT(CM29),MATCH(SpeerwurfGerundet[[#This Row],[Rundung]],INDIRECT(CM29),CM$18))),IF(CM$18=-1,LARGE(INDIRECT(CM29),1),SMALL(INDIRECT(CM29),1)),INDEX(INDIRECT(CM29),MATCH(SpeerwurfGerundet[[#This Row],[Rundung]],INDIRECT(CM29),CM$18)))))</f>
        <v/>
      </c>
      <c r="CP29" s="18" t="str">
        <f ca="1">IF(SpeerwurfSkalawert[[#This Row],[Skala-Wert]]="","",REPLACE(INDEX(StdDisziplinen[TabÜberschriftNote],CI$3),FIND("X",INDEX(StdDisziplinen[TabÜberschriftNote],CI$3),1),2,CL29))</f>
        <v/>
      </c>
      <c r="CQ29" s="31" t="str">
        <f ca="1">IF(OR(CP29="",SpeerwurfSkalawert[[#This Row],[Skala-Wert]]=Stammdaten!$AX$19),"",INDEX(INDIRECT(CP29),MATCH(SpeerwurfSkalawert[[#This Row],[Skala-Wert]],INDIRECT(CM29),0)))</f>
        <v/>
      </c>
      <c r="CR29" s="31"/>
      <c r="CS29" s="31" t="str">
        <f t="shared" ca="1" si="50"/>
        <v/>
      </c>
      <c r="CT29" s="31" t="str">
        <f t="shared" ca="1" si="50"/>
        <v/>
      </c>
      <c r="CU29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Row],[Skala-Wert]])&gt;0,MAX(CS29:CT29),99))</f>
        <v>Keine Note</v>
      </c>
      <c r="CV29" s="202" t="str">
        <f t="shared" ca="1" si="51"/>
        <v/>
      </c>
      <c r="CW29" s="202" t="str">
        <f ca="1">IF(CV29=$A$2,CS$10&amp;Stammdaten!$AX$25,IF(CU29=INDEX(StdFehler[],3),CS$10&amp;Stammdaten!$AX$27,INDEX(INDIRECT($B$4),MATCH(CV29,INDIRECT($B$5),0))))</f>
        <v>Sprintdisziplinen nicht durchgeführt</v>
      </c>
      <c r="CX29" s="202" t="str">
        <f ca="1">IFERROR(INDEX(INDIRECT(CX$12),MATCH(CV29,StdDisziplinen[ID],0)),"")</f>
        <v/>
      </c>
      <c r="CY29" s="202" t="e">
        <f t="shared" ca="1" si="52"/>
        <v>#N/A</v>
      </c>
      <c r="CZ29" s="202" t="e">
        <f t="shared" ca="1" si="53"/>
        <v>#N/A</v>
      </c>
      <c r="DA29" s="98" t="str">
        <f t="shared" ca="1" si="223"/>
        <v/>
      </c>
      <c r="DB29" s="202" t="e">
        <f t="shared" ca="1" si="54"/>
        <v>#N/A</v>
      </c>
      <c r="DC29" s="202" t="str">
        <f t="shared" ca="1" si="55"/>
        <v/>
      </c>
      <c r="DD29" s="31" t="str">
        <f t="shared" ca="1" si="56"/>
        <v/>
      </c>
      <c r="DE29" s="31" t="str">
        <f t="shared" ca="1" si="56"/>
        <v/>
      </c>
      <c r="DF29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Row],[Skala-Wert]])&gt;0,MAX(DD29:DE29),99))</f>
        <v>Keine Note</v>
      </c>
      <c r="DG29" s="202" t="str">
        <f t="shared" ca="1" si="57"/>
        <v/>
      </c>
      <c r="DH29" s="202" t="str">
        <f ca="1">IF(DG29=$A$2,DD$10&amp;Stammdaten!$AX$25,IF(DF29=INDEX(StdFehler[],3),DD$10&amp;Stammdaten!$AX$27,INDEX(INDIRECT($B$4),MATCH(DG29,INDIRECT($B$5),0))))</f>
        <v>Ausdauerdisziplinen nicht durchgeführt</v>
      </c>
      <c r="DI29" s="202" t="str">
        <f ca="1">IFERROR(INDEX(INDIRECT(DI$12),MATCH(DG29,StdDisziplinen[ID],0)),"")</f>
        <v/>
      </c>
      <c r="DJ29" s="202" t="e">
        <f t="shared" ca="1" si="58"/>
        <v>#N/A</v>
      </c>
      <c r="DK29" s="202" t="e">
        <f t="shared" ca="1" si="59"/>
        <v>#N/A</v>
      </c>
      <c r="DL29" s="96" t="str">
        <f t="shared" ca="1" si="60"/>
        <v/>
      </c>
      <c r="DM29" s="202" t="e">
        <f t="shared" ca="1" si="61"/>
        <v>#N/A</v>
      </c>
      <c r="DN29" s="202" t="str">
        <f t="shared" ca="1" si="62"/>
        <v/>
      </c>
      <c r="DO29" s="31" t="str">
        <f t="shared" ca="1" si="63"/>
        <v/>
      </c>
      <c r="DP29" s="31" t="str">
        <f t="shared" ca="1" si="63"/>
        <v/>
      </c>
      <c r="DQ29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Row],[Skala-Wert]])&gt;0,MAX(DO29:DP29),99))</f>
        <v>Keine Note</v>
      </c>
      <c r="DR29" s="202" t="str">
        <f t="shared" ca="1" si="64"/>
        <v/>
      </c>
      <c r="DS29" s="202" t="str">
        <f ca="1">IF(DR29=$A$2,DO$10&amp;Stammdaten!$AX$25,IF(DQ29=INDEX(StdFehler[],3),DO$10&amp;Stammdaten!$AX$27,INDEX(INDIRECT($B$4),MATCH(DR29,INDIRECT($B$5),0))))</f>
        <v>Sprungdisziplinen nicht durchgeführt</v>
      </c>
      <c r="DT29" s="202" t="str">
        <f ca="1">IFERROR(INDEX(INDIRECT(DT$12),MATCH(DR29,StdDisziplinen[ID],0)),"")</f>
        <v/>
      </c>
      <c r="DU29" s="202" t="e">
        <f t="shared" ca="1" si="65"/>
        <v>#N/A</v>
      </c>
      <c r="DV29" s="202" t="e">
        <f t="shared" ca="1" si="66"/>
        <v>#N/A</v>
      </c>
      <c r="DW29" s="202" t="str">
        <f t="shared" ca="1" si="67"/>
        <v/>
      </c>
      <c r="DX29" s="202" t="e">
        <f t="shared" ca="1" si="68"/>
        <v>#N/A</v>
      </c>
      <c r="DY29" s="202" t="str">
        <f t="shared" ca="1" si="69"/>
        <v/>
      </c>
      <c r="DZ29" s="31" t="str">
        <f ca="1">IF(BallwurfSkalawert[[#This Row],[Skala-Wert]]=$A$3,$A$2,IF(ISNUMBER(BallwurfSkalawert[[#This Row],[Skala-Wert]]),BallwurfNote[[#This Row],[Note]],"!"))</f>
        <v>!</v>
      </c>
      <c r="EA29" s="31" t="str">
        <f ca="1">IF(KugelstossenSkalawert[[#This Row],[Skala-Wert]]=$A$3,$A$2,IF(ISNUMBER(KugelstossenSkalawert[[#This Row],[Skala-Wert]]),KugelstossenNote[[#This Row],[Note]],"!"))</f>
        <v>!</v>
      </c>
      <c r="EB29" s="31" t="str">
        <f ca="1">IF(SpeerwurfSkalawert[[#This Row],[Skala-Wert]]=$A$3,$A$2,IF(ISNUMBER(SpeerwurfSkalawert[[#This Row],[Skala-Wert]]),SpeerwurfNote[[#This Row],[Note]],"!"))</f>
        <v>!</v>
      </c>
      <c r="EC29" s="95" t="str">
        <f ca="1">IF(ED29&gt;0,MAX(DZ29:EB29),IF(EE29&gt;0,99,INDEX(StdFehler[StdFehler],3)))</f>
        <v>Keine Note</v>
      </c>
      <c r="ED29" s="202">
        <f t="shared" ca="1" si="70"/>
        <v>0</v>
      </c>
      <c r="EE29" s="202">
        <f t="shared" ca="1" si="71"/>
        <v>0</v>
      </c>
      <c r="EF29" s="202" t="str">
        <f t="shared" ca="1" si="72"/>
        <v/>
      </c>
      <c r="EG29" s="202" t="str">
        <f ca="1">IF(EF29=$A$2,DZ$10&amp;Stammdaten!$AX$25,IF(EC29=INDEX(StdFehler[],3),DZ$10&amp;Stammdaten!$AX$27,INDEX(INDIRECT($B$4),MATCH(EF29,INDIRECT($B$5),0))))</f>
        <v>Wurfdisziplinen nicht durchgeführt</v>
      </c>
      <c r="EH29" s="202" t="str">
        <f ca="1">IFERROR(INDEX(INDIRECT(EH$12),MATCH(EF29,StdDisziplinen[ID],0)),"")</f>
        <v/>
      </c>
      <c r="EI29" s="202" t="e">
        <f t="shared" ca="1" si="73"/>
        <v>#N/A</v>
      </c>
      <c r="EJ29" s="202" t="e">
        <f t="shared" ca="1" si="74"/>
        <v>#N/A</v>
      </c>
      <c r="EK29" s="98" t="str">
        <f t="shared" ca="1" si="75"/>
        <v/>
      </c>
      <c r="EL29" s="202" t="e">
        <f t="shared" ca="1" si="76"/>
        <v>#N/A</v>
      </c>
      <c r="EM29" s="202" t="str">
        <f t="shared" ca="1" si="77"/>
        <v/>
      </c>
      <c r="EN29" s="200">
        <f t="shared" ca="1" si="1"/>
        <v>0</v>
      </c>
      <c r="EO29" s="202">
        <f t="shared" ca="1" si="78"/>
        <v>0</v>
      </c>
      <c r="EP29" s="96">
        <f t="shared" ca="1" si="2"/>
        <v>0</v>
      </c>
      <c r="EQ29" s="96">
        <f t="shared" ca="1" si="3"/>
        <v>0</v>
      </c>
      <c r="ER29" s="96">
        <f t="shared" ca="1" si="4"/>
        <v>0</v>
      </c>
      <c r="ES29" s="96">
        <f t="shared" ca="1" si="5"/>
        <v>0</v>
      </c>
      <c r="ET29" s="202">
        <f t="shared" ca="1" si="79"/>
        <v>0</v>
      </c>
      <c r="EU29" s="202" t="str">
        <f ca="1">IF($EO29=$FA$4,Stammdaten!$AX$19,IF(COUNTIF($EP29:$ES29,0)&lt;&gt;0,INDEX(StdFehler[StdFehler],4),ROUND(SUM($ET29/$EN29)/$FC$4,0)*$FC$4))</f>
        <v>Zu wenige Noten</v>
      </c>
      <c r="EV29" s="202" t="str">
        <f t="shared" ca="1" si="6"/>
        <v>Zu wenige Noten</v>
      </c>
      <c r="EW29" s="202" t="str">
        <f t="shared" ca="1" si="80"/>
        <v>Zu wenige Noten</v>
      </c>
      <c r="EX29" s="202" t="str">
        <f t="shared" ca="1" si="80"/>
        <v>Zu wenige Noten</v>
      </c>
      <c r="EY29" s="202" t="str">
        <f t="shared" ca="1" si="80"/>
        <v>Zu wenige Noten</v>
      </c>
      <c r="EZ29" s="202" t="str">
        <f t="shared" ca="1" si="81"/>
        <v>Zu wenige Noten</v>
      </c>
      <c r="FA29" s="202" t="str">
        <f t="shared" ca="1" si="82"/>
        <v>Zu wenige Noten</v>
      </c>
      <c r="FB29" s="31"/>
      <c r="FC29" s="56" t="str">
        <f t="shared" ca="1" si="83"/>
        <v>Zu wenige Noten</v>
      </c>
      <c r="FD29" s="31"/>
      <c r="FE29" s="597"/>
      <c r="FF29" s="190"/>
      <c r="FJ29" s="31"/>
      <c r="FK29" s="597"/>
      <c r="FL29" s="190"/>
      <c r="FP29" s="31"/>
      <c r="FQ29" s="597"/>
      <c r="FR29" s="190"/>
      <c r="FV29" s="31"/>
      <c r="FW29" s="597"/>
      <c r="FX29" s="190"/>
      <c r="GB29" s="31"/>
      <c r="GC29" s="597"/>
      <c r="GD29" s="190"/>
      <c r="GF29" s="154"/>
      <c r="GH29" s="31"/>
      <c r="GI29" s="597"/>
      <c r="GJ29" s="190"/>
      <c r="GN29" s="45"/>
      <c r="GO29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29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29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29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29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29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29" s="202">
        <f t="shared" si="7"/>
        <v>0</v>
      </c>
      <c r="GV29" s="202">
        <f t="shared" si="8"/>
        <v>0</v>
      </c>
      <c r="GW29" s="202">
        <f t="shared" si="84"/>
        <v>0</v>
      </c>
      <c r="GX29" s="200" t="str">
        <f t="shared" si="85"/>
        <v>!</v>
      </c>
      <c r="GY29" s="200" t="str">
        <f t="shared" si="9"/>
        <v>!</v>
      </c>
      <c r="GZ29" s="200" t="str">
        <f t="shared" si="10"/>
        <v>!</v>
      </c>
      <c r="HA29" s="244" t="str">
        <f t="shared" si="86"/>
        <v>nd</v>
      </c>
      <c r="HB29" s="244" t="str">
        <f t="shared" si="87"/>
        <v>nd</v>
      </c>
      <c r="HC29" s="244" t="str">
        <f t="shared" si="88"/>
        <v>nd</v>
      </c>
      <c r="HD29" s="244" t="str">
        <f t="shared" si="89"/>
        <v>nd</v>
      </c>
      <c r="HE29" s="244" t="str">
        <f t="shared" si="90"/>
        <v>nd</v>
      </c>
      <c r="HF29" s="244" t="str">
        <f t="shared" si="91"/>
        <v>nd</v>
      </c>
      <c r="HG29" s="202" t="b">
        <f t="shared" si="92"/>
        <v>0</v>
      </c>
      <c r="HH29" s="202">
        <f t="shared" si="93"/>
        <v>1</v>
      </c>
      <c r="HI29" s="202">
        <f t="shared" si="94"/>
        <v>0</v>
      </c>
      <c r="HJ29" s="200" t="str">
        <f t="shared" si="95"/>
        <v/>
      </c>
      <c r="HK29" s="200" t="str">
        <f t="shared" si="96"/>
        <v/>
      </c>
      <c r="HL29" s="200">
        <f t="shared" si="97"/>
        <v>0</v>
      </c>
      <c r="HM29" s="202" t="str">
        <f t="shared" si="98"/>
        <v/>
      </c>
      <c r="HN29" s="200" t="str">
        <f t="shared" si="99"/>
        <v/>
      </c>
      <c r="HO29" s="200" t="str">
        <f t="shared" si="100"/>
        <v/>
      </c>
      <c r="HP29" s="200" t="str">
        <f t="shared" si="101"/>
        <v/>
      </c>
      <c r="HQ29" s="242" t="str">
        <f t="shared" si="102"/>
        <v/>
      </c>
      <c r="HR29" s="242" t="str">
        <f t="shared" si="103"/>
        <v/>
      </c>
      <c r="HS29" s="242" t="str">
        <f t="shared" si="104"/>
        <v/>
      </c>
      <c r="HT29" s="242" t="str">
        <f t="shared" ca="1" si="105"/>
        <v>Erstes Gerät</v>
      </c>
      <c r="HU29" s="242" t="str">
        <f ca="1">IF(HT29=$HS$12,Stammdaten!$AY$27,IF(HW29=$A$2,TRIM(Stammdaten!$AX$25),""))</f>
        <v>nicht durchgeführt</v>
      </c>
      <c r="HV29" s="242" t="str">
        <f t="shared" ca="1" si="106"/>
        <v/>
      </c>
      <c r="HW29" s="277" t="str">
        <f t="shared" si="11"/>
        <v/>
      </c>
      <c r="HX29" s="202" t="str">
        <f t="shared" si="107"/>
        <v/>
      </c>
      <c r="HY29" s="202" t="str">
        <f t="shared" ca="1" si="108"/>
        <v/>
      </c>
      <c r="HZ29" s="202" t="str">
        <f t="shared" ca="1" si="109"/>
        <v>StdDisziplinen[MaxTextSt]</v>
      </c>
      <c r="IA29" s="202" t="str">
        <f t="shared" ca="1" si="12"/>
        <v/>
      </c>
      <c r="IB29" s="202" t="b">
        <f t="shared" si="110"/>
        <v>0</v>
      </c>
      <c r="IC29" s="202" t="str">
        <f t="shared" si="111"/>
        <v/>
      </c>
      <c r="ID29" s="202" t="str">
        <f t="shared" si="112"/>
        <v/>
      </c>
      <c r="IE29" s="202" t="str">
        <f t="shared" si="113"/>
        <v/>
      </c>
      <c r="IF29" s="202" t="str">
        <f t="shared" si="114"/>
        <v/>
      </c>
      <c r="IG29" s="242" t="str">
        <f t="shared" si="115"/>
        <v/>
      </c>
      <c r="IH29" s="242" t="str">
        <f t="shared" si="116"/>
        <v/>
      </c>
      <c r="II29" s="242" t="str">
        <f t="shared" ca="1" si="13"/>
        <v>Zweites Gerät</v>
      </c>
      <c r="IJ29" s="242" t="str">
        <f ca="1">IF(II29=$IH$12,Stammdaten!$AY$27,IF(IL29=$A$2,TRIM(Stammdaten!$AX$25),""))</f>
        <v>nicht durchgeführt</v>
      </c>
      <c r="IK29" s="242" t="str">
        <f t="shared" ca="1" si="117"/>
        <v/>
      </c>
      <c r="IL29" s="200" t="str">
        <f t="shared" si="14"/>
        <v/>
      </c>
      <c r="IM29" s="202" t="str">
        <f t="shared" si="118"/>
        <v/>
      </c>
      <c r="IN29" s="202" t="str">
        <f t="shared" ca="1" si="119"/>
        <v/>
      </c>
      <c r="IO29" s="202" t="str">
        <f t="shared" ca="1" si="120"/>
        <v>StdDisziplinen[MaxTextSt]</v>
      </c>
      <c r="IP29" s="202" t="str">
        <f t="shared" ca="1" si="121"/>
        <v/>
      </c>
      <c r="IQ29" s="202" t="b">
        <f t="shared" si="122"/>
        <v>0</v>
      </c>
      <c r="IR29" s="242" t="str">
        <f t="shared" ca="1" si="15"/>
        <v>Drittes Gerät</v>
      </c>
      <c r="IS29" s="242" t="str">
        <f ca="1">IF(IR29=$IR$12,MID(Stammdaten!$AX$27,2,LEN(Stammdaten!$AX$27)),IF(IU29=$A$2,TRIM(Stammdaten!$AX$25),""))</f>
        <v>nicht durchgeführt</v>
      </c>
      <c r="IT29" s="242" t="str">
        <f t="shared" ca="1" si="16"/>
        <v/>
      </c>
      <c r="IU29" s="200" t="str">
        <f t="shared" si="17"/>
        <v/>
      </c>
      <c r="IV29" s="202" t="str">
        <f t="shared" si="123"/>
        <v/>
      </c>
      <c r="IW29" s="202" t="str">
        <f t="shared" ca="1" si="124"/>
        <v/>
      </c>
      <c r="IX29" s="202" t="str">
        <f t="shared" ca="1" si="125"/>
        <v>StdDisziplinen[MaxTextSt]</v>
      </c>
      <c r="IY29" s="202" t="str">
        <f t="shared" ca="1" si="18"/>
        <v/>
      </c>
      <c r="IZ29" s="200" t="str">
        <f>IF(NOT(GW29),INDEX(StdFehler[StdFehler],4),IF(COUNTIF(GX29:GZ29,$A$2)&gt;=$IZ$4,$A$3,SUM(GX29:GZ29)))</f>
        <v>Zu wenige Noten</v>
      </c>
      <c r="JA29" s="31"/>
      <c r="JB29" s="587" t="e">
        <f t="shared" si="19"/>
        <v>#VALUE!</v>
      </c>
      <c r="JC29" s="191" t="str">
        <f>IF(OR(Geschlecht[[#This Row],[Geschlecht (Skala)]]="",IZ29=""),"",MID(Geschlecht[[#This Row],[Geschlecht (Skala)]],1,1)&amp;MID($FE$16,1,1))</f>
        <v/>
      </c>
      <c r="JD29" s="190" t="str">
        <f>IF(OR(JC29="",IZ29=""),"",REPLACE(INDEX(StdDisziplinen[TabÜberschriftResultat],$FE$3),FIND("X",INDEX(StdDisziplinen[TabÜberschriftResultat],$FE$3),1),2,JC29))</f>
        <v/>
      </c>
      <c r="JE29" s="192" t="str">
        <f ca="1">IF(OR(JD29="",IZ29=Stammdaten!$AZ$5),"",IF(OR(IZ29=Stammdaten!$AX$22,IZ29=Stammdaten!$AX$19),Stammdaten!$AX$19,IF(ISNA(INDEX(INDIRECT(JD29),MATCH(GeräteturnenGerundet[[#This Row],[Rundung]],INDIRECT(JD29),$JD$16))),IF($JD$16=-1,LARGE(INDIRECT(JD29),1),SMALL(INDIRECT(JD29),1)),INDEX(INDIRECT(JD29),MATCH(GeräteturnenGerundet[[#This Row],[Rundung]],INDIRECT(JD29),$JD$16)))))</f>
        <v/>
      </c>
      <c r="JG29" s="18" t="str">
        <f ca="1">IF(GeräteturnenSkalawert[[#This Row],[Skala-Wert]]="","",REPLACE(INDEX(StdDisziplinen[TabÜberschriftNote],$FE$3),FIND("X",INDEX(StdDisziplinen[TabÜberschriftNote],$FE$3),1),2,JC29))</f>
        <v/>
      </c>
      <c r="JH29" s="45" t="str">
        <f ca="1">IF(OR(JG29="",GeräteturnenSkalawert[[#This Row],[Skala-Wert]]=Stammdaten!$AX$19),"",INDEX(INDIRECT(JG29),MATCH(GeräteturnenSkalawert[[#This Row],[Skala-Wert]],INDIRECT(JD29),0)))</f>
        <v/>
      </c>
      <c r="JI29" s="31"/>
      <c r="JJ29" s="597"/>
      <c r="JK29" s="190"/>
      <c r="JL29" s="587">
        <f>IF(JL$16,IF(JM$16=0.5,MROUND(ParkourResultat[[#This Row],[Resultat]],JM$16),ROUND(ParkourResultat[[#This Row],[Resultat]],JM$16)),ROUNDDOWN(ParkourResultat[[#This Row],[Resultat]],JM$16))</f>
        <v>0</v>
      </c>
      <c r="JM29" s="191" t="str">
        <f>IF(OR(Geschlecht[[#This Row],[Geschlecht (Skala)]]="",JJ$16=""),"",MID(Geschlecht[[#This Row],[Geschlecht (Skala)]],1,1)&amp;MID(JJ$16,1,1))</f>
        <v/>
      </c>
      <c r="JN29" s="190" t="str">
        <f>IF(OR(JM29="",ParkourResultat[[#This Row],[Resultat]]=""),"",REPLACE(INDEX(StdDisziplinen[TabÜberschriftResultat],JJ$3),FIND("X",INDEX(StdDisziplinen[TabÜberschriftResultat],JJ$3),1),2,JM29))</f>
        <v/>
      </c>
      <c r="JO29" s="192" t="str">
        <f ca="1">IF(JN29="","",IF(OR(ParkourResultat[[#This Row],[Resultat]]=Stammdaten!$AX$22,ParkourResultat[[#This Row],[Resultat]]=Stammdaten!$AX$19),Stammdaten!$AX$19,IF(ISNA(INDEX(INDIRECT(JN29),MATCH(ParkourGerundet[[#This Row],[Rundung]],INDIRECT(JN29),JN$18))),IF(JN$18=-1,LARGE(INDIRECT(JN29),1),SMALL(INDIRECT(JN29),1)),INDEX(INDIRECT(JN29),MATCH(ParkourGerundet[[#This Row],[Rundung]],INDIRECT(JN29),JN$18)))))</f>
        <v/>
      </c>
      <c r="JQ29" s="18" t="str">
        <f ca="1">IF(ParkourSkalawert[[#This Row],[Skala-Wert]]="","",REPLACE(INDEX(StdDisziplinen[TabÜberschriftNote],JJ$3),FIND("X",INDEX(StdDisziplinen[TabÜberschriftNote],JJ$3),1),2,JM29))</f>
        <v/>
      </c>
      <c r="JR29" s="31" t="str">
        <f ca="1">IF(OR(JQ29="",ParkourSkalawert[[#This Row],[Skala-Wert]]=Stammdaten!$AX$19),"",INDEX(INDIRECT(JQ29),MATCH(ParkourSkalawert[[#This Row],[Skala-Wert]],INDIRECT(JN29),0)))</f>
        <v/>
      </c>
      <c r="JS29" s="96"/>
      <c r="JT29" s="47" t="str">
        <f ca="1">IF(OR(ISNUMBER(ParkourSkalawert[[#This Row],[Skala-Wert]]),ParkourSkalawert[[#This Row],[Skala-Wert]]=$A$3),INDEX(INDIRECT($JU$1),MATCH($JJ$3,INDIRECT($B$5),0)),"")</f>
        <v/>
      </c>
      <c r="JU29" s="200" t="str">
        <f t="shared" ca="1" si="126"/>
        <v>StdDisziplinen[MaxTextSt]</v>
      </c>
      <c r="JV29" s="200" t="str">
        <f t="shared" ca="1" si="127"/>
        <v/>
      </c>
      <c r="JW29" s="98">
        <f ca="1">IF(GeräteturnenSkalawert[[#This Row],[Skala-Wert]]=$A$3,$A$2,IF(GeräteturnenNote[[#This Row],[Note]]="",0,GeräteturnenNote[[#This Row],[Note]]))</f>
        <v>0</v>
      </c>
      <c r="JX29" s="96">
        <f ca="1">IF(ParkourSkalawert[[#This Row],[Skala-Wert]]=$A$3,$A$2,IF(ParkourNote[[#This Row],[Note]]="",0,ParkourNote[[#This Row],[Note]]))</f>
        <v>0</v>
      </c>
      <c r="JY29" s="200">
        <f t="shared" ca="1" si="128"/>
        <v>0</v>
      </c>
      <c r="JZ29" s="200">
        <f t="shared" ca="1" si="129"/>
        <v>0</v>
      </c>
      <c r="KA29" s="202">
        <f t="shared" ca="1" si="130"/>
        <v>0</v>
      </c>
      <c r="KB29" s="98" t="str">
        <f t="shared" ca="1" si="20"/>
        <v>!</v>
      </c>
      <c r="KC29" s="98" t="str">
        <f t="shared" ca="1" si="21"/>
        <v>!</v>
      </c>
      <c r="KD29" s="202" t="str">
        <f ca="1">IF(NOT(KA29),INDEX(StdFehler[StdFehler],4),IF(JZ29=$KA$12,$A$3,IF(JW29=$A$2,JX29,IF(JX29=$A$2,JW29,CONCATENATE(JW29,", ",JX29)))))</f>
        <v>Zu wenige Noten</v>
      </c>
      <c r="KE29" s="202" t="str">
        <f t="shared" ca="1" si="131"/>
        <v>Zu wenige Noten</v>
      </c>
      <c r="KF29" s="31"/>
      <c r="KG29" s="56" t="str">
        <f ca="1">IF(NOT(KA29),INDEX(StdFehler[StdFehler],4),IF(JZ29=$KA$12,$A$3,ROUND(AVERAGE(KB29:KC29)/$KG$4,0)*$KG$4))</f>
        <v>Zu wenige Noten</v>
      </c>
      <c r="KH29" s="31"/>
      <c r="KI29" s="599"/>
      <c r="KJ29" s="190"/>
      <c r="KK29" s="586">
        <f>IF(KK$16,IF(KL$16=0.5,MROUND(TanzenResultat[[#This Row],[Resultat]],KL$16),ROUND(TanzenResultat[[#This Row],[Resultat]],KL$16)),ROUNDDOWN(TanzenResultat[[#This Row],[Resultat]],KL$16))</f>
        <v>0</v>
      </c>
      <c r="KL29" s="191" t="str">
        <f>IF(OR(Geschlecht[[#This Row],[Geschlecht (Skala)]]="",KI$16=""),"",MID(Geschlecht[[#This Row],[Geschlecht (Skala)]],1,1)&amp;MID(KI$16,1,1))</f>
        <v/>
      </c>
      <c r="KM29" s="190" t="str">
        <f>IF(OR(KL29="",TanzenResultat[[#This Row],[Resultat]]=""),"",REPLACE(INDEX(StdDisziplinen[TabÜberschriftResultat],KI$3),FIND("X",INDEX(StdDisziplinen[TabÜberschriftResultat],KI$3),1),2,KL29))</f>
        <v/>
      </c>
      <c r="KN29" s="31" t="str">
        <f ca="1">IF(KM29="","",IF(OR(TanzenResultat[[#This Row],[Resultat]]=Stammdaten!$AX$22,TanzenResultat[[#This Row],[Resultat]]=Stammdaten!$AX$19),Stammdaten!$AX$19,IF(ISNA(INDEX(INDIRECT(KM29),MATCH(TanzenGerundet[[#This Row],[Rundung]],INDIRECT(KM29),KM$18))),IF(KM$18=-1,LARGE(INDIRECT(KM29),1),SMALL(INDIRECT(KM29),1)),INDEX(INDIRECT(KM29),MATCH(TanzenGerundet[[#This Row],[Rundung]],INDIRECT(KM29),KM$18)))))</f>
        <v/>
      </c>
      <c r="KP29" s="18" t="str">
        <f ca="1">IF(TanzenSkalawert[[#This Row],[Skala-Wert]]="","",REPLACE(INDEX(StdDisziplinen[TabÜberschriftNote],KI$3),FIND("X",INDEX(StdDisziplinen[TabÜberschriftNote],KI$3),1),2,KL29))</f>
        <v/>
      </c>
      <c r="KQ29" s="45" t="str">
        <f ca="1">IF(OR(KP29="",TanzenSkalawert[[#This Row],[Skala-Wert]]=Stammdaten!$AX$19),"",INDEX(INDIRECT(KP29),MATCH(TanzenSkalawert[[#This Row],[Skala-Wert]],INDIRECT(KM29),0)))</f>
        <v/>
      </c>
      <c r="KR29" s="31"/>
      <c r="KS29" s="597"/>
      <c r="KT29" s="190"/>
      <c r="KU29" s="587">
        <f>IF(KU$16,IF(KV$16=0.5,MROUND(RopeSkippingResultat[[#This Row],[Resultat]],KV$16),ROUND(RopeSkippingResultat[[#This Row],[Resultat]],KV$16)),ROUNDDOWN(RopeSkippingResultat[[#This Row],[Resultat]],KV$16))</f>
        <v>0</v>
      </c>
      <c r="KV29" s="191" t="str">
        <f>IF(OR(Geschlecht[[#This Row],[Geschlecht (Skala)]]="",KS$16=""),"",MID(Geschlecht[[#This Row],[Geschlecht (Skala)]],1,1)&amp;MID(KS$16,1,1))</f>
        <v/>
      </c>
      <c r="KW29" s="190" t="str">
        <f>IF(OR(KV29="",RopeSkippingResultat[[#This Row],[Resultat]]=""),"",REPLACE(INDEX(StdDisziplinen[TabÜberschriftResultat],KS$3),FIND("X",INDEX(StdDisziplinen[TabÜberschriftResultat],KS$3),1),2,KV29))</f>
        <v/>
      </c>
      <c r="KX29" s="192" t="str">
        <f ca="1">IF(KW29="","",IF(OR(RopeSkippingResultat[[#This Row],[Resultat]]=Stammdaten!$AX$22,RopeSkippingResultat[[#This Row],[Resultat]]=Stammdaten!$AX$19),Stammdaten!$AX$19,IF(ISNA(INDEX(INDIRECT(KW29),MATCH(RopeSkippingGerundet[[#This Row],[Rundung]],INDIRECT(KW29),KW$18))),IF(KW$18=-1,LARGE(INDIRECT(KW29),1),SMALL(INDIRECT(KW29),1)),INDEX(INDIRECT(KW29),MATCH(RopeSkippingGerundet[[#This Row],[Rundung]],INDIRECT(KW29),KW$18)))))</f>
        <v/>
      </c>
      <c r="KZ29" s="18" t="str">
        <f ca="1">IF(RopeSkippingSkalawert[[#This Row],[Skala-Wert]]="","",REPLACE(INDEX(StdDisziplinen[TabÜberschriftNote],KS$3),FIND("X",INDEX(StdDisziplinen[TabÜberschriftNote],KS$3),1),2,KV29))</f>
        <v/>
      </c>
      <c r="LA29" s="45" t="str">
        <f ca="1">IF(OR(KZ29="",RopeSkippingSkalawert[[#This Row],[Skala-Wert]]=Stammdaten!$AX$19),"",INDEX(INDIRECT(KZ29),MATCH(RopeSkippingSkalawert[[#This Row],[Skala-Wert]],INDIRECT(KW29),0)))</f>
        <v/>
      </c>
      <c r="LB29" s="31"/>
      <c r="LC29" s="599"/>
      <c r="LD29" s="190"/>
      <c r="LE29" s="586">
        <f>IF(LE$16,IF(LF$16=0.5,MROUND(AerobicResultat[[#This Row],[Resultat]],LF$16),ROUND(AerobicResultat[[#This Row],[Resultat]],LF$16)),ROUNDDOWN(AerobicResultat[[#This Row],[Resultat]],LF$16))</f>
        <v>0</v>
      </c>
      <c r="LF29" s="191" t="str">
        <f>IF(OR(Geschlecht[[#This Row],[Geschlecht (Skala)]]="",LC$16=""),"",MID(Geschlecht[[#This Row],[Geschlecht (Skala)]],1,1)&amp;MID(LC$16,1,1))</f>
        <v/>
      </c>
      <c r="LG29" s="190" t="str">
        <f>IF(OR(LF29="",AerobicResultat[[#This Row],[Resultat]]=""),"",REPLACE(INDEX(StdDisziplinen[TabÜberschriftResultat],LC$3),FIND("X",INDEX(StdDisziplinen[TabÜberschriftResultat],LC$3),1),2,LF29))</f>
        <v/>
      </c>
      <c r="LH29" s="31" t="str">
        <f ca="1">IF(LG29="","",IF(OR(AerobicResultat[[#This Row],[Resultat]]=Stammdaten!$AX$22,AerobicResultat[[#This Row],[Resultat]]=Stammdaten!$AX$19),Stammdaten!$AX$19,IF(ISNA(INDEX(INDIRECT(LG29),MATCH(AerobicGerundet[[#This Row],[Rundung]],INDIRECT(LG29),LG$18))),IF(LG$18=-1,LARGE(INDIRECT(LG29),1),SMALL(INDIRECT(LG29),1)),INDEX(INDIRECT(LG29),MATCH(AerobicGerundet[[#This Row],[Rundung]],INDIRECT(LG29),LG$18)))))</f>
        <v/>
      </c>
      <c r="LJ29" s="18" t="str">
        <f ca="1">IF(AerobicSkalawert[[#This Row],[Skala-Wert]]="","",REPLACE(INDEX(StdDisziplinen[TabÜberschriftNote],LC$3),FIND("X",INDEX(StdDisziplinen[TabÜberschriftNote],LC$3),1),2,LF29))</f>
        <v/>
      </c>
      <c r="LK29" s="45" t="str">
        <f ca="1">IF(OR(LJ29="",AerobicSkalawert[[#This Row],[Skala-Wert]]=Stammdaten!$AX$19),"",INDEX(INDIRECT(LJ29),MATCH(AerobicSkalawert[[#This Row],[Skala-Wert]],INDIRECT(LG29),0)))</f>
        <v/>
      </c>
      <c r="LL29" s="31"/>
      <c r="LM29" s="45" t="str">
        <f ca="1">IF(TanzenSkalawert[[#This Row],[Skala-Wert]]=$A$3,$A$2,IF(ISNUMBER(TanzenSkalawert[[#This Row],[Skala-Wert]]),TanzenNote[[#This Row],[Note]],"!"))</f>
        <v>!</v>
      </c>
      <c r="LN29" s="45" t="str">
        <f ca="1">IF(RopeSkippingSkalawert[[#This Row],[Skala-Wert]]=$A$3,$A$2,IF(ISNUMBER(RopeSkippingSkalawert[[#This Row],[Skala-Wert]]),RopeSkippingNote[[#This Row],[Note]],"!"))</f>
        <v>!</v>
      </c>
      <c r="LO29" s="45" t="str">
        <f ca="1">IF(AerobicSkalawert[[#This Row],[Skala-Wert]]=$A$3,$A$2,IF(ISNUMBER(AerobicSkalawert[[#This Row],[Skala-Wert]]),AerobicNote[[#This Row],[Note]],"!"))</f>
        <v>!</v>
      </c>
      <c r="LP29" s="36">
        <f t="shared" ca="1" si="132"/>
        <v>0</v>
      </c>
      <c r="LQ29" s="36">
        <f t="shared" ca="1" si="133"/>
        <v>0</v>
      </c>
      <c r="LR29" s="244" t="str">
        <f t="shared" ca="1" si="22"/>
        <v>nd</v>
      </c>
      <c r="LS29" s="244" t="str">
        <f t="shared" ca="1" si="23"/>
        <v>nd</v>
      </c>
      <c r="LT29" s="244" t="str">
        <f t="shared" ca="1" si="24"/>
        <v>nd</v>
      </c>
      <c r="LU29" s="242" t="str">
        <f t="shared" ca="1" si="25"/>
        <v/>
      </c>
      <c r="LV29" s="242" t="str">
        <f t="shared" ca="1" si="134"/>
        <v/>
      </c>
      <c r="LW29" s="242" t="str">
        <f t="shared" ca="1" si="135"/>
        <v/>
      </c>
      <c r="LX29" s="242" t="str">
        <f ca="1">IF(LW29="",Stammdaten!$AM$4,INDEX(INDIRECT($B$4),MATCH($LW29,INDIRECT($B$5),0)))</f>
        <v>Darstellen und Tanzen</v>
      </c>
      <c r="LY29" s="242" t="str">
        <f ca="1">IF(LW29="",Stammdaten!$AY$27,IF(ISNUMBER(LU29),LX29,IF(ISNUMBER(LV29),TRIM(Stammdaten!$AX$25),"")))</f>
        <v>nicht durchgeführt</v>
      </c>
      <c r="LZ29" s="242" t="str">
        <f t="shared" ca="1" si="136"/>
        <v>Darstellen und Tanzen</v>
      </c>
      <c r="MA29" s="242" t="str">
        <f t="shared" ca="1" si="137"/>
        <v/>
      </c>
      <c r="MB29" s="242" t="str">
        <f t="shared" ca="1" si="26"/>
        <v>Darstellen und TanzenResultat[@Resultat]</v>
      </c>
      <c r="MC29" s="274" t="str">
        <f t="shared" ca="1" si="138"/>
        <v/>
      </c>
      <c r="MD29" s="242" t="str">
        <f t="shared" ca="1" si="139"/>
        <v>Darstellen und TanzenSkalawert[@[Skala-Wert]]</v>
      </c>
      <c r="ME29" s="274" t="str">
        <f t="shared" ca="1" si="140"/>
        <v/>
      </c>
      <c r="MF29" s="47" t="str">
        <f t="shared" ca="1" si="27"/>
        <v/>
      </c>
      <c r="MG29" s="200" t="str">
        <f t="shared" ca="1" si="141"/>
        <v>StdDisziplinen[MaxTextSt]</v>
      </c>
      <c r="MH29" s="200" t="str">
        <f t="shared" ca="1" si="142"/>
        <v/>
      </c>
      <c r="MI29" s="45"/>
      <c r="MJ29" s="98" t="str">
        <f ca="1">IF(LP29&gt;0,MAX(LM29:LO29),IF(LQ29&gt;0,$A$3,INDEX(StdFehler[StdFehler],4)))</f>
        <v>Zu wenige Noten</v>
      </c>
      <c r="MK29" s="45"/>
      <c r="ML29" s="37"/>
      <c r="MM29" s="190"/>
      <c r="MN29" s="586">
        <f>IF(MN$16,IF(MO$16=0.5,MROUND(BasketballResultat[[#This Row],[Resultat]],MO$16),ROUND(BasketballResultat[[#This Row],[Resultat]],MO$16)),ROUNDDOWN(BasketballResultat[[#This Row],[Resultat]],MO$16))</f>
        <v>0</v>
      </c>
      <c r="MO29" s="191" t="str">
        <f>IF(OR(Geschlecht[[#This Row],[Geschlecht (Skala)]]="",ML$16=""),"",MID(Geschlecht[[#This Row],[Geschlecht (Skala)]],1,1)&amp;MID(ML$16,1,1))</f>
        <v/>
      </c>
      <c r="MP29" s="190" t="str">
        <f>IF(OR(MO29="",BasketballResultat[[#This Row],[Resultat]]=""),"",REPLACE(INDEX(StdDisziplinen[TabÜberschriftResultat],ML$3),FIND("X",INDEX(StdDisziplinen[TabÜberschriftResultat],ML$3),1),2,MO29))</f>
        <v/>
      </c>
      <c r="MQ29" s="31" t="str">
        <f ca="1">IF(MP29="","",IF(OR(BasketballResultat[[#This Row],[Resultat]]=Stammdaten!$AX$22,BasketballResultat[[#This Row],[Resultat]]=Stammdaten!$AX$19),Stammdaten!$AX$19,IF(ISNA(INDEX(INDIRECT(MP29),MATCH(BasketballGerundet[[#This Row],[Rundung]],INDIRECT(MP29),MP$18))),IF(MP$18=-1,LARGE(INDIRECT(MP29),1),SMALL(INDIRECT(MP29),1)),INDEX(INDIRECT(MP29),MATCH(BasketballGerundet[[#This Row],[Rundung]],INDIRECT(MP29),MP$18)))))</f>
        <v/>
      </c>
      <c r="MS29" s="18" t="str">
        <f ca="1">IF(BasketballSkalawert[[#This Row],[Skala-Wert]]="","",REPLACE(INDEX(StdDisziplinen[TabÜberschriftNote],ML$3),FIND("X",INDEX(StdDisziplinen[TabÜberschriftNote],ML$3),1),2,MO29))</f>
        <v/>
      </c>
      <c r="MT29" s="31" t="str">
        <f ca="1">IF(OR(MS29="",BasketballSkalawert[[#This Row],[Skala-Wert]]=Stammdaten!$AX$19),"",INDEX(INDIRECT(MS29),MATCH(BasketballSkalawert[[#This Row],[Skala-Wert]],INDIRECT(MP29),0)))</f>
        <v/>
      </c>
      <c r="MU29" s="31"/>
      <c r="MV29" s="37"/>
      <c r="MW29" s="190"/>
      <c r="MX29" s="586">
        <f>IF(MX$16,IF(MY$16=0.5,MROUND(FussballResultat[[#This Row],[Resultat]],MY$16),ROUND(FussballResultat[[#This Row],[Resultat]],MY$16)),ROUNDDOWN(FussballResultat[[#This Row],[Resultat]],MY$16))</f>
        <v>0</v>
      </c>
      <c r="MY29" s="191" t="str">
        <f>IF(OR(Geschlecht[[#This Row],[Geschlecht (Skala)]]="",MV$16=""),"",MID(Geschlecht[[#This Row],[Geschlecht (Skala)]],1,1)&amp;MID(MV$16,1,1))</f>
        <v/>
      </c>
      <c r="MZ29" s="190" t="str">
        <f>IF(OR(MY29="",FussballResultat[[#This Row],[Resultat]]=""),"",REPLACE(INDEX(StdDisziplinen[TabÜberschriftResultat],MV$3),FIND("X",INDEX(StdDisziplinen[TabÜberschriftResultat],MV$3),1),2,MY29))</f>
        <v/>
      </c>
      <c r="NA29" s="31" t="str">
        <f ca="1">IF(MZ29="","",IF(OR(FussballResultat[[#This Row],[Resultat]]=Stammdaten!$AX$22,FussballResultat[[#This Row],[Resultat]]=Stammdaten!$AX$19),Stammdaten!$AX$19,IF(ISNA(INDEX(INDIRECT(MZ29),MATCH(FussballGerundet[[#This Row],[Rundung]],INDIRECT(MZ29),MZ$18))),IF(MZ$18=-1,LARGE(INDIRECT(MZ29),1),SMALL(INDIRECT(MZ29),1)),INDEX(INDIRECT(MZ29),MATCH(FussballGerundet[[#This Row],[Rundung]],INDIRECT(MZ29),MZ$18)))))</f>
        <v/>
      </c>
      <c r="NC29" s="18" t="str">
        <f ca="1">IF(FussballSkalawert[[#This Row],[Skala-Wert]]="","",REPLACE(INDEX(StdDisziplinen[TabÜberschriftNote],MV$3),FIND("X",INDEX(StdDisziplinen[TabÜberschriftNote],MV$3),1),2,MY29))</f>
        <v/>
      </c>
      <c r="ND29" s="31" t="str">
        <f ca="1">IF(OR(NC29="",FussballSkalawert[[#This Row],[Skala-Wert]]=Stammdaten!$AX$19),"",INDEX(INDIRECT(NC29),MATCH(FussballSkalawert[[#This Row],[Skala-Wert]],INDIRECT(MZ29),0)))</f>
        <v/>
      </c>
      <c r="NE29" s="31"/>
      <c r="NF29" s="37"/>
      <c r="NG29" s="190"/>
      <c r="NH29" s="586">
        <f>IF(NH$16,IF(NI$16=0.5,MROUND(HandballResultat[[#This Row],[Resultat]],NI$16),ROUND(HandballResultat[[#This Row],[Resultat]],NI$16)),ROUNDDOWN(HandballResultat[[#This Row],[Resultat]],NI$16))</f>
        <v>0</v>
      </c>
      <c r="NI29" s="191" t="str">
        <f>IF(OR(Geschlecht[[#This Row],[Geschlecht (Skala)]]="",NF$16=""),"",MID(Geschlecht[[#This Row],[Geschlecht (Skala)]],1,1)&amp;MID(NF$16,1,1))</f>
        <v/>
      </c>
      <c r="NJ29" s="190" t="str">
        <f>IF(OR(NI29="",HandballResultat[[#This Row],[Resultat]]=""),"",REPLACE(INDEX(StdDisziplinen[TabÜberschriftResultat],NF$3),FIND("X",INDEX(StdDisziplinen[TabÜberschriftResultat],NF$3),1),2,NI29))</f>
        <v/>
      </c>
      <c r="NK29" s="31" t="str">
        <f ca="1">IF(NJ29="","",IF(OR(HandballResultat[[#This Row],[Resultat]]=Stammdaten!$AX$22,HandballResultat[[#This Row],[Resultat]]=Stammdaten!$AX$19),Stammdaten!$AX$19,IF(ISNA(INDEX(INDIRECT(NJ29),MATCH(HandballGerundet[[#This Row],[Rundung]],INDIRECT(NJ29),NJ$18))),IF(NJ$18=-1,LARGE(INDIRECT(NJ29),1),SMALL(INDIRECT(NJ29),1)),INDEX(INDIRECT(NJ29),MATCH(HandballGerundet[[#This Row],[Rundung]],INDIRECT(NJ29),NJ$18)))))</f>
        <v/>
      </c>
      <c r="NM29" s="18" t="str">
        <f ca="1">IF(HandballSkalawert[[#This Row],[Skala-Wert]]="","",REPLACE(INDEX(StdDisziplinen[TabÜberschriftNote],NF$3),FIND("X",INDEX(StdDisziplinen[TabÜberschriftNote],NF$3),1),2,NI29))</f>
        <v/>
      </c>
      <c r="NN29" s="31" t="str">
        <f ca="1">IF(OR(NM29="",HandballSkalawert[[#This Row],[Skala-Wert]]=Stammdaten!$AX$19),"",INDEX(INDIRECT(NM29),MATCH(HandballSkalawert[[#This Row],[Skala-Wert]],INDIRECT(NJ29),0)))</f>
        <v/>
      </c>
      <c r="NO29" s="31"/>
      <c r="NP29" s="37"/>
      <c r="NQ29" s="190"/>
      <c r="NR29" s="586">
        <f>IF(NR$16,IF(NS$16=0.5,MROUND(UnihockeyResultat[[#This Row],[Resultat]],NS$16),ROUND(UnihockeyResultat[[#This Row],[Resultat]],NS$16)),ROUNDDOWN(UnihockeyResultat[[#This Row],[Resultat]],NS$16))</f>
        <v>0</v>
      </c>
      <c r="NS29" s="191" t="str">
        <f>IF(OR(Geschlecht[[#This Row],[Geschlecht (Skala)]]="",NP$16=""),"",MID(Geschlecht[[#This Row],[Geschlecht (Skala)]],1,1)&amp;MID(NP$16,1,1))</f>
        <v/>
      </c>
      <c r="NT29" s="190" t="str">
        <f>IF(OR(NS29="",UnihockeyResultat[[#This Row],[Resultat]]=""),"",REPLACE(INDEX(StdDisziplinen[TabÜberschriftResultat],NP$3),FIND("X",INDEX(StdDisziplinen[TabÜberschriftResultat],NP$3),1),2,NS29))</f>
        <v/>
      </c>
      <c r="NU29" s="31" t="str">
        <f ca="1">IF(NT29="","",IF(OR(UnihockeyResultat[[#This Row],[Resultat]]=Stammdaten!$AX$22,UnihockeyResultat[[#This Row],[Resultat]]=Stammdaten!$AX$19),Stammdaten!$AX$19,IF(ISNA(INDEX(INDIRECT(NT29),MATCH(UnihockeyGerundet[[#This Row],[Rundung]],INDIRECT(NT29),NT$18))),IF(NT$18=-1,LARGE(INDIRECT(NT29),1),SMALL(INDIRECT(NT29),1)),INDEX(INDIRECT(NT29),MATCH(UnihockeyGerundet[[#This Row],[Rundung]],INDIRECT(NT29),NT$18)))))</f>
        <v/>
      </c>
      <c r="NW29" s="18" t="str">
        <f ca="1">IF(UnihockeySkalawert[[#This Row],[Skala-Wert]]="","",REPLACE(INDEX(StdDisziplinen[TabÜberschriftNote],NP$3),FIND("X",INDEX(StdDisziplinen[TabÜberschriftNote],NP$3),1),2,NS29))</f>
        <v/>
      </c>
      <c r="NX29" s="31" t="str">
        <f ca="1">IF(OR(NW29="",UnihockeySkalawert[[#This Row],[Skala-Wert]]=Stammdaten!$AX$19),"",INDEX(INDIRECT(NW29),MATCH(UnihockeySkalawert[[#This Row],[Skala-Wert]],INDIRECT(NT29),0)))</f>
        <v/>
      </c>
      <c r="NY29" s="31"/>
      <c r="NZ29" s="597"/>
      <c r="OA29" s="190"/>
      <c r="OB29" s="587">
        <f>IF(OB$16,IF(OC$16=0.5,MROUND(VolleyballResultat[[#This Row],[Resultat]],OC$16),ROUND(VolleyballResultat[[#This Row],[Resultat]],OC$16)),ROUNDDOWN(VolleyballResultat[[#This Row],[Resultat]],OC$16))</f>
        <v>0</v>
      </c>
      <c r="OC29" s="191" t="str">
        <f>IF(OR(Geschlecht[[#This Row],[Geschlecht (Skala)]]="",NZ$16=""),"",MID(Geschlecht[[#This Row],[Geschlecht (Skala)]],1,1)&amp;MID(NZ$16,1,1))</f>
        <v/>
      </c>
      <c r="OD29" s="190" t="str">
        <f>IF(OR(OC29="",VolleyballResultat[[#This Row],[Resultat]]=""),"",REPLACE(INDEX(StdDisziplinen[TabÜberschriftResultat],NZ$3),FIND("X",INDEX(StdDisziplinen[TabÜberschriftResultat],NZ$3),1),2,OC29))</f>
        <v/>
      </c>
      <c r="OE29" s="192" t="str">
        <f ca="1">IF(OD29="","",IF(OR(VolleyballResultat[[#This Row],[Resultat]]=Stammdaten!$AX$22,VolleyballResultat[[#This Row],[Resultat]]=Stammdaten!$AX$19),Stammdaten!$AX$19,IF(ISNA(INDEX(INDIRECT(OD29),MATCH(VolleyballGerundet[[#This Row],[Rundung]],INDIRECT(OD29),OD$18))),IF(OD$18=-1,LARGE(INDIRECT(OD29),1),SMALL(INDIRECT(OD29),1)),INDEX(INDIRECT(OD29),MATCH(VolleyballGerundet[[#This Row],[Rundung]],INDIRECT(OD29),OD$18)))))</f>
        <v/>
      </c>
      <c r="OG29" s="18" t="str">
        <f ca="1">IF(VolleyballSkalawert[[#This Row],[Skala-Wert]]="","",REPLACE(INDEX(StdDisziplinen[TabÜberschriftNote],NZ$3),FIND("X",INDEX(StdDisziplinen[TabÜberschriftNote],NZ$3),1),2,OC29))</f>
        <v/>
      </c>
      <c r="OH29" s="31" t="str">
        <f ca="1">IF(OR(OG29="",VolleyballSkalawert[[#This Row],[Skala-Wert]]=Stammdaten!$AX$19),"",INDEX(INDIRECT(OG29),MATCH(VolleyballSkalawert[[#This Row],[Skala-Wert]],INDIRECT(OD29),0)))</f>
        <v/>
      </c>
      <c r="OI29" s="45"/>
      <c r="OJ29" s="31">
        <f ca="1">IF(BasketballSkalawert[[#This Row],[Skala-Wert]]=$A$3,$A$2,IF(BasketballNote[[#This Row],[Note]]="",0,BasketballNote[[#This Row],[Note]]))</f>
        <v>0</v>
      </c>
      <c r="OK29" s="31">
        <f ca="1">IF(FussballSkalawert[[#This Row],[Skala-Wert]]=$A$3,$A$2,IF(FussballNote[[#This Row],[Note]]="",0,FussballNote[[#This Row],[Note]]))</f>
        <v>0</v>
      </c>
      <c r="OL29" s="31">
        <f ca="1">IF(HandballSkalawert[[#This Row],[Skala-Wert]]=$A$3,$A$2,IF(HandballNote[[#This Row],[Note]]="",0,HandballNote[[#This Row],[Note]]))</f>
        <v>0</v>
      </c>
      <c r="OM29" s="31">
        <f ca="1">IF(UnihockeySkalawert[[#This Row],[Skala-Wert]]=$A$3,$A$2,IF(UnihockeyNote[[#This Row],[Note]]="",0,UnihockeyNote[[#This Row],[Note]]))</f>
        <v>0</v>
      </c>
      <c r="ON29" s="31">
        <f ca="1">IF(VolleyballSkalawert[[#This Row],[Skala-Wert]]=$A$3,$A$2,IF(VolleyballNote[[#This Row],[Note]]="",0,VolleyballNote[[#This Row],[Note]]))</f>
        <v>0</v>
      </c>
      <c r="OO29" s="202">
        <f t="shared" ca="1" si="28"/>
        <v>0</v>
      </c>
      <c r="OP29" s="202">
        <f t="shared" ca="1" si="29"/>
        <v>0</v>
      </c>
      <c r="OQ29" s="202">
        <f t="shared" ca="1" si="143"/>
        <v>0</v>
      </c>
      <c r="OR29" s="96" t="str">
        <f t="shared" ca="1" si="144"/>
        <v>!</v>
      </c>
      <c r="OS29" s="96" t="str">
        <f t="shared" ca="1" si="30"/>
        <v>!</v>
      </c>
      <c r="OT29" s="96" t="str">
        <f t="shared" ca="1" si="31"/>
        <v>!</v>
      </c>
      <c r="OU29" s="96" t="str">
        <f ca="1">IF(NOT(OQ29),INDEX(StdFehler[StdFehler],4),IF(COUNTIF(OR29:OT29,$A$2)&gt;=$OQ$13,$A$3,ROUND(AVERAGE(OR29:OT29)/$RX$4,0)*$RX$4))</f>
        <v>Zu wenige Noten</v>
      </c>
      <c r="OV29" s="244" t="str">
        <f t="shared" ca="1" si="145"/>
        <v>nd</v>
      </c>
      <c r="OW29" s="244" t="str">
        <f t="shared" ca="1" si="146"/>
        <v>nd</v>
      </c>
      <c r="OX29" s="244" t="str">
        <f t="shared" ca="1" si="147"/>
        <v>nd</v>
      </c>
      <c r="OY29" s="244" t="str">
        <f t="shared" ca="1" si="148"/>
        <v>nd</v>
      </c>
      <c r="OZ29" s="244" t="str">
        <f t="shared" ca="1" si="149"/>
        <v>nd</v>
      </c>
      <c r="PA29" s="202" t="b">
        <f t="shared" ca="1" si="150"/>
        <v>0</v>
      </c>
      <c r="PB29" s="202">
        <f t="shared" ca="1" si="151"/>
        <v>1</v>
      </c>
      <c r="PC29" s="202">
        <f t="shared" ca="1" si="152"/>
        <v>0</v>
      </c>
      <c r="PD29" s="96" t="str">
        <f t="shared" ca="1" si="153"/>
        <v/>
      </c>
      <c r="PE29" s="96" t="str">
        <f t="shared" ca="1" si="154"/>
        <v/>
      </c>
      <c r="PF29" s="200">
        <f t="shared" ca="1" si="155"/>
        <v>0</v>
      </c>
      <c r="PG29" s="202" t="str">
        <f t="shared" ca="1" si="156"/>
        <v/>
      </c>
      <c r="PH29" s="200" t="str">
        <f t="shared" ca="1" si="157"/>
        <v/>
      </c>
      <c r="PI29" s="200" t="str">
        <f t="shared" ca="1" si="158"/>
        <v/>
      </c>
      <c r="PJ29" s="200" t="str">
        <f t="shared" ca="1" si="159"/>
        <v/>
      </c>
      <c r="PK29" s="242" t="str">
        <f t="shared" ca="1" si="160"/>
        <v/>
      </c>
      <c r="PL29" s="242" t="str">
        <f t="shared" ca="1" si="161"/>
        <v/>
      </c>
      <c r="PM29" s="242" t="str">
        <f t="shared" ca="1" si="162"/>
        <v/>
      </c>
      <c r="PN29" s="242" t="str">
        <f t="shared" ca="1" si="163"/>
        <v>Erste Spielsportart</v>
      </c>
      <c r="PO29" s="242" t="str">
        <f ca="1">IF(PN29=$PM$11,Stammdaten!$AY$27,IF(PR29=$A$2,TRIM(Stammdaten!$AX$25),""))</f>
        <v>nicht durchgeführt</v>
      </c>
      <c r="PP29" s="242" t="str">
        <f t="shared" ca="1" si="164"/>
        <v/>
      </c>
      <c r="PQ29" s="202" t="str">
        <f t="shared" ca="1" si="165"/>
        <v>Erste SpielsportartResultat[@Resultat]</v>
      </c>
      <c r="PR29" s="98" t="str">
        <f t="shared" ca="1" si="166"/>
        <v/>
      </c>
      <c r="PS29" s="202" t="str">
        <f t="shared" ca="1" si="167"/>
        <v/>
      </c>
      <c r="PT29" s="202" t="str">
        <f t="shared" ca="1" si="168"/>
        <v>Erste SpielsportartSkalawert[@[Skala-Wert]]</v>
      </c>
      <c r="PU29" s="98" t="str">
        <f t="shared" ca="1" si="169"/>
        <v/>
      </c>
      <c r="PV29" s="202" t="str">
        <f t="shared" ca="1" si="170"/>
        <v/>
      </c>
      <c r="PW29" s="202" t="str">
        <f t="shared" ca="1" si="171"/>
        <v/>
      </c>
      <c r="PX29" s="202" t="str">
        <f t="shared" ca="1" si="172"/>
        <v>StdDisziplinen[MaxTextSt]</v>
      </c>
      <c r="PY29" s="202" t="str">
        <f t="shared" ca="1" si="173"/>
        <v/>
      </c>
      <c r="PZ29" s="202" t="b">
        <f t="shared" ca="1" si="174"/>
        <v>0</v>
      </c>
      <c r="QA29" s="202" t="str">
        <f t="shared" ca="1" si="175"/>
        <v/>
      </c>
      <c r="QB29" s="202" t="str">
        <f t="shared" ca="1" si="32"/>
        <v/>
      </c>
      <c r="QC29" s="202" t="str">
        <f t="shared" ca="1" si="176"/>
        <v/>
      </c>
      <c r="QD29" s="202" t="str">
        <f t="shared" ca="1" si="177"/>
        <v/>
      </c>
      <c r="QE29" s="242" t="str">
        <f t="shared" ca="1" si="178"/>
        <v/>
      </c>
      <c r="QF29" s="242" t="str">
        <f t="shared" ca="1" si="179"/>
        <v/>
      </c>
      <c r="QG29" s="242" t="str">
        <f t="shared" ca="1" si="180"/>
        <v>Zweite Spielsportart</v>
      </c>
      <c r="QH29" s="242" t="str">
        <f ca="1">IF(QG29=$QF$11,Stammdaten!$AY$27,IF(QK29=$A$2,TRIM(Stammdaten!$AX$25),""))</f>
        <v>nicht durchgeführt</v>
      </c>
      <c r="QI29" s="242" t="str">
        <f t="shared" ca="1" si="181"/>
        <v/>
      </c>
      <c r="QJ29" s="202" t="str">
        <f t="shared" ca="1" si="182"/>
        <v>Zweite SpielsportartResultat[@Resultat]</v>
      </c>
      <c r="QK29" s="98" t="str">
        <f t="shared" ca="1" si="183"/>
        <v/>
      </c>
      <c r="QL29" s="202" t="str">
        <f t="shared" ca="1" si="184"/>
        <v/>
      </c>
      <c r="QM29" s="202" t="str">
        <f t="shared" ca="1" si="185"/>
        <v>Zweite SpielsportartSkalawert[@[Skala-Wert]]</v>
      </c>
      <c r="QN29" s="98" t="str">
        <f t="shared" ca="1" si="186"/>
        <v/>
      </c>
      <c r="QO29" s="202" t="str">
        <f t="shared" ca="1" si="187"/>
        <v/>
      </c>
      <c r="QP29" s="202" t="str">
        <f t="shared" ca="1" si="188"/>
        <v/>
      </c>
      <c r="QQ29" s="202" t="str">
        <f t="shared" ca="1" si="189"/>
        <v>StdDisziplinen[MaxTextSt]</v>
      </c>
      <c r="QR29" s="202" t="str">
        <f t="shared" ca="1" si="190"/>
        <v/>
      </c>
      <c r="QS29" s="202" t="b">
        <f t="shared" ca="1" si="191"/>
        <v>0</v>
      </c>
      <c r="QT29" s="242" t="str">
        <f t="shared" ca="1" si="33"/>
        <v>Dritte Spielsportart</v>
      </c>
      <c r="QU29" s="242" t="str">
        <f ca="1">IF(QT29=$QT$11,MID(Stammdaten!$AX$27,2,LEN(Stammdaten!$AX$27)),IF(QX29=$A$2,TRIM(Stammdaten!$AX$25),""))</f>
        <v>nicht durchgeführt</v>
      </c>
      <c r="QV29" s="242" t="str">
        <f t="shared" ca="1" si="34"/>
        <v/>
      </c>
      <c r="QW29" s="202" t="str">
        <f t="shared" ca="1" si="192"/>
        <v>Dritte SpielsportartResultat[@Resultat]</v>
      </c>
      <c r="QX29" s="98" t="str">
        <f t="shared" ca="1" si="193"/>
        <v/>
      </c>
      <c r="QY29" s="202" t="str">
        <f t="shared" ca="1" si="35"/>
        <v/>
      </c>
      <c r="QZ29" s="202" t="str">
        <f t="shared" ca="1" si="194"/>
        <v>Dritte SpielsportartSkalawert[@[Skala-Wert]]</v>
      </c>
      <c r="RA29" s="98" t="str">
        <f ca="1">IFERROR(INDEX(INDIRECT(QZ29),,),"")</f>
        <v/>
      </c>
      <c r="RB29" s="202" t="str">
        <f t="shared" ca="1" si="36"/>
        <v/>
      </c>
      <c r="RC29" s="202" t="str">
        <f t="shared" ca="1" si="196"/>
        <v/>
      </c>
      <c r="RD29" s="202" t="str">
        <f t="shared" ca="1" si="197"/>
        <v>StdDisziplinen[MaxTextSt]</v>
      </c>
      <c r="RE29" s="202" t="str">
        <f t="shared" ca="1" si="37"/>
        <v/>
      </c>
      <c r="RF29" s="244">
        <f t="shared" ca="1" si="38"/>
        <v>99</v>
      </c>
      <c r="RG29" s="244">
        <f t="shared" ca="1" si="39"/>
        <v>99</v>
      </c>
      <c r="RH29" s="244">
        <f t="shared" ca="1" si="40"/>
        <v>99</v>
      </c>
      <c r="RI29" s="244">
        <f t="shared" ca="1" si="41"/>
        <v>99</v>
      </c>
      <c r="RJ29" s="244">
        <f t="shared" ca="1" si="42"/>
        <v>99</v>
      </c>
      <c r="RK29" s="244">
        <f t="shared" ca="1" si="198"/>
        <v>99</v>
      </c>
      <c r="RL29" s="244">
        <f t="shared" ca="1" si="199"/>
        <v>99</v>
      </c>
      <c r="RM29" s="244">
        <f t="shared" ca="1" si="200"/>
        <v>99</v>
      </c>
      <c r="RN29" s="244">
        <f t="shared" ca="1" si="201"/>
        <v>99</v>
      </c>
      <c r="RO29" s="244">
        <f t="shared" ca="1" si="202"/>
        <v>99</v>
      </c>
      <c r="RP29" s="202" t="str">
        <f t="shared" ca="1" si="43"/>
        <v>Zu wenige Noten</v>
      </c>
      <c r="RQ29" s="202" t="str">
        <f t="shared" ca="1" si="203"/>
        <v>Zu wenige Noten</v>
      </c>
      <c r="RR29" s="202" t="str">
        <f t="shared" ca="1" si="203"/>
        <v>Zu wenige Noten</v>
      </c>
      <c r="RS29" s="202" t="str">
        <f t="shared" ca="1" si="204"/>
        <v>Zu wenige Noten</v>
      </c>
      <c r="RT29" s="202" t="str">
        <f t="shared" ca="1" si="204"/>
        <v>Zu wenige Noten</v>
      </c>
      <c r="RU29" s="202" t="str">
        <f t="shared" ca="1" si="205"/>
        <v>Zu wenige Noten</v>
      </c>
      <c r="RV29" s="202" t="str">
        <f t="shared" ca="1" si="206"/>
        <v>Zu wenige Noten</v>
      </c>
      <c r="RW29" s="31"/>
      <c r="RX29" s="56" t="str">
        <f t="shared" ca="1" si="44"/>
        <v>Zu wenige Noten</v>
      </c>
      <c r="RY29" s="31"/>
      <c r="RZ29" s="31" t="str">
        <f t="shared" ca="1" si="45"/>
        <v>Zu wenige Noten</v>
      </c>
      <c r="SA29" s="31" t="str">
        <f t="shared" ca="1" si="46"/>
        <v>Zu wenige Noten</v>
      </c>
      <c r="SB29" s="45" t="str">
        <f t="shared" ca="1" si="47"/>
        <v>Zu wenige Noten</v>
      </c>
      <c r="SC29" s="31" t="str">
        <f t="shared" ca="1" si="207"/>
        <v>Zu wenige Noten</v>
      </c>
      <c r="SD29" s="31" t="str">
        <f t="shared" ca="1" si="208"/>
        <v>Zu wenige Noten</v>
      </c>
      <c r="SE29" s="31" t="str">
        <f t="shared" ca="1" si="48"/>
        <v>Zu wenige Noten</v>
      </c>
      <c r="SF29" s="31" t="str">
        <f t="shared" ca="1" si="209"/>
        <v>Zu wenige Noten</v>
      </c>
      <c r="SG29" s="31" t="str">
        <f t="shared" ca="1" si="48"/>
        <v>Zu wenige Noten</v>
      </c>
      <c r="SH29" s="36">
        <f t="shared" ca="1" si="210"/>
        <v>0</v>
      </c>
      <c r="SI29" s="36">
        <f t="shared" ca="1" si="211"/>
        <v>0</v>
      </c>
      <c r="SJ29" s="36">
        <f t="shared" ca="1" si="212"/>
        <v>0</v>
      </c>
      <c r="SK29" s="31">
        <f t="shared" ca="1" si="213"/>
        <v>99</v>
      </c>
      <c r="SL29" s="31">
        <f t="shared" ca="1" si="214"/>
        <v>99</v>
      </c>
      <c r="SM29" s="36" t="str">
        <f t="shared" ca="1" si="215"/>
        <v>99.0</v>
      </c>
      <c r="SN29" s="31">
        <f t="shared" ca="1" si="216"/>
        <v>99</v>
      </c>
      <c r="SO29" s="36" t="str">
        <f ca="1">IF(NOT(SJ29),INDEX(StdFehler[StdFehler],4),IF(SI29=$SJ$13,$A$3,CONCATENATE(TEXT(SK29,"#.0"),", ",TEXT(SL29,"#.0"),", ",SM29,", ",TEXT(SN29,"#.0"))))</f>
        <v>Zu wenige Noten</v>
      </c>
      <c r="SP29" s="36" t="str">
        <f t="shared" ca="1" si="49"/>
        <v>Zu wenige Noten</v>
      </c>
      <c r="SQ29" s="36" t="str">
        <f t="shared" ca="1" si="49"/>
        <v>Zu wenige Noten</v>
      </c>
      <c r="SR29" s="36" t="str">
        <f t="shared" ca="1" si="49"/>
        <v>Zu wenige Noten</v>
      </c>
      <c r="SS29" s="36" t="str">
        <f t="shared" ca="1" si="49"/>
        <v>Zu wenige Noten</v>
      </c>
      <c r="ST29" s="36" t="str">
        <f t="shared" ca="1" si="217"/>
        <v>Zu wenige Noten</v>
      </c>
      <c r="SU29" s="36"/>
      <c r="SV29" s="214" t="str">
        <f t="shared" si="218"/>
        <v>D</v>
      </c>
      <c r="SW29" s="36"/>
      <c r="SX29" s="214" t="str">
        <f t="shared" si="219"/>
        <v>D</v>
      </c>
      <c r="SY29" s="36"/>
      <c r="SZ29" s="214" t="str">
        <f t="shared" si="220"/>
        <v>D</v>
      </c>
      <c r="TA29" s="36"/>
      <c r="TB29" s="214" t="str">
        <f t="shared" si="221"/>
        <v>D</v>
      </c>
      <c r="TC29" s="31"/>
      <c r="TD29" s="36" t="str">
        <f t="shared" ca="1" si="222"/>
        <v>Zu wenige Noten</v>
      </c>
      <c r="TE29" s="31"/>
      <c r="TF29" s="193" t="str">
        <f ca="1">IF(NOT(SJ29),INDEX(StdFehler[StdFehler],4),IF(SI29=$TF$4,$A$3,ROUND(AVERAGE(RZ29:SC29)/$TF$5,0)*$TF$5))</f>
        <v>Zu wenige Noten</v>
      </c>
      <c r="TH29" s="595" t="str">
        <f>IF(OR($TH$18=Stammdaten!$AX$20,$TH$18=""),Stammdaten!$AX$20,$TH$18)</f>
        <v>Disziplin</v>
      </c>
      <c r="TI29" s="33"/>
      <c r="TJ29" s="33" t="str">
        <f>IF(OR(Geschlecht[[#This Row],[Geschlecht (Skala)]]="",TH29="",TH29=Stammdaten!$AX$20),"",REPLACE(INDEX(StdDisziplinen[TabÜberschriftResultat],TH$3),FIND("XX",INDEX(StdDisziplinen[TabÜberschriftResultat],TH$3),1),2,Geschlecht[[#This Row],[Geschlecht (Skala)]]))</f>
        <v/>
      </c>
      <c r="TK29" s="596"/>
      <c r="TM29" s="37"/>
      <c r="TN29" s="40"/>
      <c r="TO29" s="587">
        <f>IF(TO$16,IF(TP$16=0.5,MROUND(SchwimmenResultat[[#This Row],[Resultat]],TP$16),ROUND(SchwimmenResultat[[#This Row],[Resultat]],TP$16)),ROUNDDOWN(SchwimmenResultat[[#This Row],[Resultat]],TP$16))</f>
        <v>0</v>
      </c>
      <c r="TP29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29" s="153" t="str">
        <f ca="1">IF(TP29="","",IF(OR(SchwimmenResultat[[#This Row],[Resultat]]=Stammdaten!$AX$22,SchwimmenResultat[[#This Row],[Resultat]]=Stammdaten!$AX$19),Stammdaten!$AX$19,IF(ISNA(INDEX(INDIRECT(TP29),MATCH(SchwimmenGerundet[[#This Row],[Rundung]],INDIRECT(TP29),TP$18))),IF(TP$18=-1,LARGE(INDIRECT(TP29),1),SMALL(INDIRECT(TP29),1)),INDEX(INDIRECT(TP29),MATCH(SchwimmenGerundet[[#This Row],[Rundung]],INDIRECT(TP29),TP$18)))))</f>
        <v/>
      </c>
      <c r="TR29" s="33" t="str">
        <f>IF(OR(TP29="",SchwimmenResultat[[#This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29" s="33"/>
      <c r="TT29" s="36" t="str">
        <f ca="1">IF(OR(TR29="",SchwimmenSkalawert[[#This Row],[Skala-Wert]]=Stammdaten!$AX$19),"",INDEX(INDIRECT(TR29),MATCH(SchwimmenSkalawert[[#This Row],[Skala-Wert]],INDIRECT(TP29),0)))</f>
        <v/>
      </c>
      <c r="TU29" s="36"/>
      <c r="TV29" s="190" t="str">
        <f>IF(ZwölfMinLaufHalleResultat[[#This Row],[Resultat]]=0,"",ZwölfMinLaufHalleResultat[[#This Row],[Resultat]])</f>
        <v/>
      </c>
      <c r="TW29" s="190"/>
      <c r="TX29" s="31" t="str">
        <f ca="1">ZwölfMinLaufHalleSkalawert[[#This Row],[Skala-Wert]]</f>
        <v/>
      </c>
      <c r="TZ29" s="31" t="str">
        <f ca="1">ZwölfMinLaufHalleNote[[#This Row],[Note]]</f>
        <v/>
      </c>
      <c r="UA29" s="31"/>
      <c r="UB29" s="190" t="str">
        <f>IF(ZwölfMinLaufimFreienResultat[[#This Row],[Resultat]]=0,"",ZwölfMinLaufimFreienResultat[[#This Row],[Resultat]])</f>
        <v/>
      </c>
      <c r="UC29" s="190"/>
      <c r="UD29" s="192" t="str">
        <f ca="1">ZwölfMinLaufimFreienSkalawert[[#This Row],[Skala-Wert]]</f>
        <v/>
      </c>
      <c r="UF29" s="31" t="str">
        <f ca="1">ZwölfMinLaufimFreienNote[[#This Row],[Note]]</f>
        <v/>
      </c>
      <c r="UG29" s="31"/>
      <c r="UH29" s="597"/>
      <c r="UI29" s="190"/>
      <c r="UJ29" s="587">
        <f>IF(UJ$16,IF(UK$16=0.5,MROUND(BeweglichkeitResultat[[#This Row],[Resultat]],UK$16),ROUND(BeweglichkeitResultat[[#This Row],[Resultat]],UK$16)),ROUNDDOWN(BeweglichkeitResultat[[#This Row],[Resultat]],UK$16))</f>
        <v>0</v>
      </c>
      <c r="UK29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29" s="192" t="str">
        <f ca="1">IF(UK29="","",IF(OR(BeweglichkeitResultat[[#This Row],[Resultat]]=Stammdaten!$AX$22,BeweglichkeitResultat[[#This Row],[Resultat]]=Stammdaten!$AX$19),Stammdaten!$AX$19,IF(ISNA(INDEX(INDIRECT(UK29),MATCH(BeweglichkeitGerundet[[#This Row],[Rundung]],INDIRECT(UK29),UK$18))),IF(UK$18=-1,LARGE(INDIRECT(UK29),1),SMALL(INDIRECT(UK29),1)),INDEX(INDIRECT(UK29),MATCH(BeweglichkeitGerundet[[#This Row],[Rundung]],INDIRECT(UK29),UK$18)))))</f>
        <v/>
      </c>
      <c r="UN29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29" s="36" t="str">
        <f ca="1">IF(OR(UK29="",BeweglichkeitSkalawert[[#This Row],[Skala-Wert]]=Stammdaten!$AX$19),"",INDEX(INDIRECT(UN29),MATCH(BeweglichkeitSkalawert[[#This Row],[Skala-Wert]],INDIRECT(UK29),0)))</f>
        <v/>
      </c>
      <c r="UP29" s="31"/>
      <c r="UQ29" s="597"/>
      <c r="UR29" s="190"/>
      <c r="US29" s="587">
        <f>IF(US$16,IF(UT$16=0.5,MROUND(RumpfkraftResultat[[#This Row],[Resultat]],UT$16),ROUND(RumpfkraftResultat[[#This Row],[Resultat]],UT$16)),ROUNDDOWN(RumpfkraftResultat[[#This Row],[Resultat]],UT$16))</f>
        <v>0</v>
      </c>
      <c r="UT29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29" s="192" t="str">
        <f ca="1">IF(UT29="","",IF(OR(RumpfkraftResultat[[#This Row],[Resultat]]=Stammdaten!$AX$22,RumpfkraftResultat[[#This Row],[Resultat]]=Stammdaten!$AX$19),Stammdaten!$AX$19,IF(ISNA(INDEX(INDIRECT(UT29),MATCH(RumpfkraftGerundet[[#This Row],[Rundung]],INDIRECT(UT29),UT$18))),IF(UT$18=-1,LARGE(INDIRECT(UT29),1),SMALL(INDIRECT(UT29),1)),INDEX(INDIRECT(UT29),MATCH(RumpfkraftGerundet[[#This Row],[Rundung]],INDIRECT(UT29),UT$18)))))</f>
        <v/>
      </c>
      <c r="UW29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29" s="36" t="str">
        <f ca="1">IF(OR(UT29="",RumpfkraftSkalawert[[#This Row],[Skala-Wert]]=Stammdaten!$AX$19),"",INDEX(INDIRECT(UW29),MATCH(RumpfkraftSkalawert[[#This Row],[Skala-Wert]],INDIRECT(UT29),0)))</f>
        <v/>
      </c>
      <c r="UY29" s="31"/>
      <c r="UZ29" s="190" t="str">
        <f>IF(SechzigmLaufResultat[[#This Row],[Resultat]]=0,"",SechzigmLaufResultat[[#This Row],[Resultat]])</f>
        <v/>
      </c>
      <c r="VA29" s="190"/>
      <c r="VB29" s="45" t="str">
        <f ca="1">SechzigmLaufSkalawert[[#This Row],[Skala-Wert]]</f>
        <v/>
      </c>
      <c r="VD29" s="31" t="str">
        <f ca="1">SechzigmLaufNote[[#This Row],[Note]]</f>
        <v/>
      </c>
      <c r="VE29" s="31"/>
      <c r="VF29" s="190" t="str">
        <f>IF(AchtzigmLaufResultat[[#This Row],[Resultat]]=0,"",AchtzigmLaufResultat[[#This Row],[Resultat]])</f>
        <v/>
      </c>
      <c r="VG29" s="190"/>
      <c r="VH29" s="45" t="str">
        <f ca="1">AchtzigmLaufSkalawert[[#This Row],[Skala-Wert]]</f>
        <v/>
      </c>
      <c r="VJ29" s="31" t="str">
        <f ca="1">AchtzigmLaufNote[[#This Row],[Note]]</f>
        <v/>
      </c>
      <c r="VK29" s="31"/>
      <c r="VL29" s="37"/>
      <c r="VM29" s="190"/>
      <c r="VN29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29" s="191" t="str">
        <f>IF(OR(Geschlecht[[#This Row],[Geschlecht (Skala)]]="",VL$16=""),"",MID(Geschlecht[[#This Row],[Geschlecht (Skala)]],1,1)&amp;MID(VL$16,1,1))</f>
        <v/>
      </c>
      <c r="VP29" s="190" t="str">
        <f>IF(OR(VO29="",KonditionsparcoursResultat[[#This Row],[Resultat]]=""),"",REPLACE(INDEX(StdDisziplinen[TabÜberschriftResultat],VL$3),FIND("X",INDEX(StdDisziplinen[TabÜberschriftResultat],VL$3),1),2,VO29))</f>
        <v/>
      </c>
      <c r="VQ29" s="192" t="str">
        <f ca="1">IF(VP29="","",IF(OR(KonditionsparcoursResultat[[#This Row],[Resultat]]=Stammdaten!$AX$22,KonditionsparcoursResultat[[#This Row],[Resultat]]=Stammdaten!$AX$19),Stammdaten!$AX$19,IF(ISNA(INDEX(INDIRECT(VP29),MATCH(KonditionsparcoursGerundet[[#This Row],[Rundung]],INDIRECT(VP29),VP$18))),IF(VP$18=-1,LARGE(INDIRECT(VP29),1),SMALL(INDIRECT(VP29),1)),INDEX(INDIRECT(VP29),MATCH(KonditionsparcoursGerundet[[#This Row],[Rundung]],INDIRECT(VP29),VP$18)))))</f>
        <v/>
      </c>
      <c r="VS29" s="18" t="str">
        <f ca="1">IF(KonditionsparcoursSkalawert[[#This Row],[Skala-Wert]]="","",REPLACE(INDEX(StdDisziplinen[TabÜberschriftNote],VL$3),FIND("X",INDEX(StdDisziplinen[TabÜberschriftNote],VL$3),1),2,VO29))</f>
        <v/>
      </c>
      <c r="VT29" s="31" t="str">
        <f ca="1">IF(OR(VS29="",KonditionsparcoursSkalawert[[#This Row],[Skala-Wert]]=Stammdaten!$AX$19),"",INDEX(INDIRECT(VS29),MATCH(KonditionsparcoursSkalawert[[#This Row],[Skala-Wert]],INDIRECT(VP29),0)))</f>
        <v/>
      </c>
      <c r="VU29" s="22"/>
    </row>
    <row r="30" spans="1:593" x14ac:dyDescent="0.3">
      <c r="A30" s="30">
        <v>12</v>
      </c>
      <c r="B30" s="589"/>
      <c r="C30" s="589"/>
      <c r="E30" s="591"/>
      <c r="G30" s="37"/>
      <c r="H30" s="190"/>
      <c r="I30" s="154">
        <f>IF(I$16,IF(J$16=0.5,MROUND(SechzigmLaufResultat[[#This Row],[Resultat]],J$16),ROUND(SechzigmLaufResultat[[#This Row],[Resultat]],J$16)),ROUNDDOWN(SechzigmLaufResultat[[#This Row],[Resultat]],J$16))</f>
        <v>0</v>
      </c>
      <c r="J30" s="191" t="str">
        <f>IF(OR(Geschlecht[[#This Row],[Geschlecht (Skala)]]="",G$16=""),"",MID(Geschlecht[[#This Row],[Geschlecht (Skala)]],1,1)&amp;MID(G$16,1,1))</f>
        <v/>
      </c>
      <c r="K30" s="190" t="str">
        <f>IF(OR(J30="",SechzigmLaufResultat[[#This Row],[Resultat]]=""),"",REPLACE(INDEX(StdDisziplinen[TabÜberschriftResultat],G$3),FIND("X",INDEX(StdDisziplinen[TabÜberschriftResultat],G$3),1),2,J30))</f>
        <v/>
      </c>
      <c r="L30" s="45" t="str">
        <f ca="1">IF(K30="","",IF(OR(SechzigmLaufResultat[[#This Row],[Resultat]]=Stammdaten!$AX$22,SechzigmLaufResultat[[#This Row],[Resultat]]=Stammdaten!$AX$19),Stammdaten!$AX$19,IF(ISNA(INDEX(INDIRECT(K30),MATCH(SechzigmLaufGerundet[[#This Row],[Rundung]],INDIRECT(K30),K$18))),IF(K$18=-1,LARGE(INDIRECT(K30),1),SMALL(INDIRECT(K30),1)),INDEX(INDIRECT(K30),MATCH(SechzigmLaufGerundet[[#This Row],[Rundung]],INDIRECT(K30),K$18)))))</f>
        <v/>
      </c>
      <c r="N30" s="18" t="str">
        <f ca="1">IF(SechzigmLaufSkalawert[[#This Row],[Skala-Wert]]="","",REPLACE(INDEX(StdDisziplinen[TabÜberschriftNote],G$3),FIND("X",INDEX(StdDisziplinen[TabÜberschriftNote],G$3),1),2,J30))</f>
        <v/>
      </c>
      <c r="O30" s="31" t="str">
        <f ca="1">IF(OR(N30="",SechzigmLaufSkalawert[[#This Row],[Skala-Wert]]=Stammdaten!$AX$19),"",INDEX(INDIRECT(N30),MATCH(SechzigmLaufSkalawert[[#This Row],[Skala-Wert]],INDIRECT(K30),0)))</f>
        <v/>
      </c>
      <c r="P30" s="31"/>
      <c r="Q30" s="37"/>
      <c r="R30" s="190"/>
      <c r="S30" s="154">
        <f>IF(S$16,IF(T$16=0.5,MROUND(AchtzigmLaufResultat[[#This Row],[Resultat]],T$16),ROUND(AchtzigmLaufResultat[[#This Row],[Resultat]],T$16)),ROUNDDOWN(AchtzigmLaufResultat[[#This Row],[Resultat]],T$16))</f>
        <v>0</v>
      </c>
      <c r="T30" s="191" t="str">
        <f>IF(OR(Geschlecht[[#This Row],[Geschlecht (Skala)]]="",Q$16=""),"",MID(Geschlecht[[#This Row],[Geschlecht (Skala)]],1,1)&amp;MID(Q$16,1,1))</f>
        <v/>
      </c>
      <c r="U30" s="190" t="str">
        <f>IF(OR(T30="",AchtzigmLaufResultat[[#This Row],[Resultat]]=""),"",REPLACE(INDEX(StdDisziplinen[TabÜberschriftResultat],Q$3),FIND("X",INDEX(StdDisziplinen[TabÜberschriftResultat],Q$3),1),2,T30))</f>
        <v/>
      </c>
      <c r="V30" s="45" t="str">
        <f ca="1">IF(U30="","",IF(OR(AchtzigmLaufResultat[[#This Row],[Resultat]]=Stammdaten!$AX$22,AchtzigmLaufResultat[[#This Row],[Resultat]]=Stammdaten!$AX$19),Stammdaten!$AX$19,IF(ISNA(INDEX(INDIRECT(U30),MATCH(AchtzigmLaufGerundet[[#This Row],[Rundung]],INDIRECT(U30),U$18))),IF(U$18=-1,LARGE(INDIRECT(U30),1),SMALL(INDIRECT(U30),1)),INDEX(INDIRECT(U30),MATCH(AchtzigmLaufGerundet[[#This Row],[Rundung]],INDIRECT(U30),U$18)))))</f>
        <v/>
      </c>
      <c r="X30" s="18" t="str">
        <f ca="1">IF(AchtzigmLaufSkalawert[[#This Row],[Skala-Wert]]="","",REPLACE(INDEX(StdDisziplinen[TabÜberschriftNote],Q$3),FIND("X",INDEX(StdDisziplinen[TabÜberschriftNote],Q$3),1),2,T30))</f>
        <v/>
      </c>
      <c r="Y30" s="31" t="str">
        <f ca="1">IF(OR(X30="",AchtzigmLaufSkalawert[[#This Row],[Skala-Wert]]=Stammdaten!$AX$19),"",INDEX(INDIRECT(X30),MATCH(AchtzigmLaufSkalawert[[#This Row],[Skala-Wert]],INDIRECT(U30),0)))</f>
        <v/>
      </c>
      <c r="Z30" s="31"/>
      <c r="AA30" s="37"/>
      <c r="AB30" s="190"/>
      <c r="AC30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0" s="191" t="str">
        <f>IF(OR(Geschlecht[[#This Row],[Geschlecht (Skala)]]="",AA$16=""),"",MID(Geschlecht[[#This Row],[Geschlecht (Skala)]],1,1)&amp;MID(AA$16,1,1))</f>
        <v/>
      </c>
      <c r="AE30" s="190" t="str">
        <f>IF(OR(AD30="",ZwölfMinLaufHalleResultat[[#This Row],[Resultat]]=""),"",REPLACE(INDEX(StdDisziplinen[TabÜberschriftResultat],AA$3),FIND("X",INDEX(StdDisziplinen[TabÜberschriftResultat],AA$3),1),2,AD30))</f>
        <v/>
      </c>
      <c r="AF30" s="31" t="str">
        <f ca="1">IF(AE30="","",IF(OR(ZwölfMinLaufHalleResultat[[#This Row],[Resultat]]=Stammdaten!$AX$22,ZwölfMinLaufHalleResultat[[#This Row],[Resultat]]=Stammdaten!$AX$19),Stammdaten!$AX$19,IF(ISNA(INDEX(INDIRECT(AE30),MATCH(ZwölfMinLaufHalleGerundet[[#This Row],[Rundung]],INDIRECT(AE30),AE$18))),IF(AE$18=-1,LARGE(INDIRECT(AE30),1),SMALL(INDIRECT(AE30),1)),INDEX(INDIRECT(AE30),MATCH(ZwölfMinLaufHalleGerundet[[#This Row],[Rundung]],INDIRECT(AE30),AE$18)))))</f>
        <v/>
      </c>
      <c r="AH30" s="18" t="str">
        <f ca="1">IF(ZwölfMinLaufHalleSkalawert[[#This Row],[Skala-Wert]]="","",REPLACE(INDEX(StdDisziplinen[TabÜberschriftNote],AA$3),FIND("X",INDEX(StdDisziplinen[TabÜberschriftNote],AA$3),1),2,AD30))</f>
        <v/>
      </c>
      <c r="AI30" s="31" t="str">
        <f ca="1">IF(OR(AH30="",ZwölfMinLaufHalleSkalawert[[#This Row],[Skala-Wert]]=Stammdaten!$AX$19),"",INDEX(INDIRECT(AH30),MATCH(ZwölfMinLaufHalleSkalawert[[#This Row],[Skala-Wert]],INDIRECT(AE30),0)))</f>
        <v/>
      </c>
      <c r="AJ30" s="31"/>
      <c r="AK30" s="597"/>
      <c r="AL30" s="190"/>
      <c r="AM30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0" s="191" t="str">
        <f>IF(OR(Geschlecht[[#This Row],[Geschlecht (Skala)]]="",AK$16=""),"",MID(Geschlecht[[#This Row],[Geschlecht (Skala)]],1,1)&amp;MID(AK$16,1,1))</f>
        <v/>
      </c>
      <c r="AO30" s="190" t="str">
        <f>IF(OR(AN30="",ZwölfMinLaufimFreienResultat[[#This Row],[Resultat]]=""),"",REPLACE(INDEX(StdDisziplinen[TabÜberschriftResultat],AK$3),FIND("X",INDEX(StdDisziplinen[TabÜberschriftResultat],AK$3),1),2,AN30))</f>
        <v/>
      </c>
      <c r="AP30" s="192" t="str">
        <f ca="1">IF(AO30="","",IF(OR(ZwölfMinLaufimFreienResultat[[#This Row],[Resultat]]=Stammdaten!$AX$22,ZwölfMinLaufimFreienResultat[[#This Row],[Resultat]]=Stammdaten!$AX$19),Stammdaten!$AX$19,IF(ISNA(INDEX(INDIRECT(AO30),MATCH(ZwölfMinLaufimFreienGerundet[[#This Row],[Rundung]],INDIRECT(AO30),AO$18))),IF(AO$18=-1,LARGE(INDIRECT(AO30),1),SMALL(INDIRECT(AO30),1)),INDEX(INDIRECT(AO30),MATCH(ZwölfMinLaufimFreienGerundet[[#This Row],[Rundung]],INDIRECT(AO30),AO$18)))))</f>
        <v/>
      </c>
      <c r="AR30" s="18" t="str">
        <f ca="1">IF(ZwölfMinLaufimFreienSkalawert[[#This Row],[Skala-Wert]]="","",REPLACE(INDEX(StdDisziplinen[TabÜberschriftNote],AK$3),FIND("X",INDEX(StdDisziplinen[TabÜberschriftNote],AK$3),1),2,AN30))</f>
        <v/>
      </c>
      <c r="AS30" s="31" t="str">
        <f ca="1">IF(OR(AR30="",ZwölfMinLaufimFreienSkalawert[[#This Row],[Skala-Wert]]=Stammdaten!$AX$19),"",INDEX(INDIRECT(AR30),MATCH(ZwölfMinLaufimFreienSkalawert[[#This Row],[Skala-Wert]],INDIRECT(AO30),0)))</f>
        <v/>
      </c>
      <c r="AT30" s="31"/>
      <c r="AU30" s="597"/>
      <c r="AV30" s="190"/>
      <c r="AW30" s="587">
        <f>IF(AW$16,IF(AX$16=0.5,MROUND(HochsprungResultat[[#This Row],[Resultat]],AX$16),ROUND(HochsprungResultat[[#This Row],[Resultat]],AX$16)),ROUNDDOWN(HochsprungResultat[[#This Row],[Resultat]],AX$16))</f>
        <v>0</v>
      </c>
      <c r="AX30" s="191" t="str">
        <f>IF(OR(Geschlecht[[#This Row],[Geschlecht (Skala)]]="",AU$16=""),"",MID(Geschlecht[[#This Row],[Geschlecht (Skala)]],1,1)&amp;MID(AU$16,1,1))</f>
        <v/>
      </c>
      <c r="AY30" s="190" t="str">
        <f>IF(OR(AX30="",HochsprungResultat[[#This Row],[Resultat]]=""),"",REPLACE(INDEX(StdDisziplinen[TabÜberschriftResultat],AU$3),FIND("X",INDEX(StdDisziplinen[TabÜberschriftResultat],AU$3),1),2,AX30))</f>
        <v/>
      </c>
      <c r="AZ30" s="192" t="str">
        <f ca="1">IF(AY30="","",IF(OR(HochsprungResultat[[#This Row],[Resultat]]=Stammdaten!$AX$22,HochsprungResultat[[#This Row],[Resultat]]=Stammdaten!$AX$19),Stammdaten!$AX$19,IF(ISNA(INDEX(INDIRECT(AY30),MATCH(HochsprungGerundet[[#This Row],[Rundung]],INDIRECT(AY30),AY$18))),IF(AY$18=-1,LARGE(INDIRECT(AY30),1),SMALL(INDIRECT(AY30),1)),INDEX(INDIRECT(AY30),MATCH(HochsprungGerundet[[#This Row],[Rundung]],INDIRECT(AY30),AY$18)))))</f>
        <v/>
      </c>
      <c r="BB30" s="18" t="str">
        <f ca="1">IF(HochsprungSkalawert[[#This Row],[Skala-Wert]]="","",REPLACE(INDEX(StdDisziplinen[TabÜberschriftNote],AU$3),FIND("X",INDEX(StdDisziplinen[TabÜberschriftNote],AU$3),1),2,AX30))</f>
        <v/>
      </c>
      <c r="BC30" s="31" t="str">
        <f ca="1">IF(OR(BB30="",HochsprungSkalawert[[#This Row],[Skala-Wert]]=Stammdaten!$AX$19),"",INDEX(INDIRECT(BB30),MATCH(HochsprungSkalawert[[#This Row],[Skala-Wert]],INDIRECT(AY30),0)))</f>
        <v/>
      </c>
      <c r="BD30" s="31"/>
      <c r="BE30" s="597"/>
      <c r="BF30" s="190"/>
      <c r="BG30" s="587">
        <f>IF(BG$16,IF(BH$16=0.5,MROUND(WeitsprungResultat[[#This Row],[Resultat]],BH$16),ROUND(WeitsprungResultat[[#This Row],[Resultat]],BH$16)),ROUNDDOWN(WeitsprungResultat[[#This Row],[Resultat]],BH$16))</f>
        <v>0</v>
      </c>
      <c r="BH30" s="191" t="str">
        <f>IF(OR(Geschlecht[[#This Row],[Geschlecht (Skala)]]="",BE$16=""),"",MID(Geschlecht[[#This Row],[Geschlecht (Skala)]],1,1)&amp;MID(BE$16,1,1))</f>
        <v/>
      </c>
      <c r="BI30" s="190" t="str">
        <f>IF(OR(BH30="",WeitsprungResultat[[#This Row],[Resultat]]=""),"",REPLACE(INDEX(StdDisziplinen[TabÜberschriftResultat],BE$3),FIND("X",INDEX(StdDisziplinen[TabÜberschriftResultat],BE$3),1),2,BH30))</f>
        <v/>
      </c>
      <c r="BJ30" s="192" t="str">
        <f ca="1">IF(BI30="","",IF(OR(WeitsprungResultat[[#This Row],[Resultat]]=Stammdaten!$AX$22,WeitsprungResultat[[#This Row],[Resultat]]=Stammdaten!$AX$19),Stammdaten!$AX$19,IF(ISNA(INDEX(INDIRECT(BI30),MATCH(WeitsprungGerundet[[#This Row],[Rundung]],INDIRECT(BI30),BI$18))),IF(BI$18=-1,LARGE(INDIRECT(BI30),1),SMALL(INDIRECT(BI30),1)),INDEX(INDIRECT(BI30),MATCH(WeitsprungGerundet[[#This Row],[Rundung]],INDIRECT(BI30),BI$18)))))</f>
        <v/>
      </c>
      <c r="BL30" s="18" t="str">
        <f ca="1">IF(WeitsprungSkalawert[[#This Row],[Skala-Wert]]="","",REPLACE(INDEX(StdDisziplinen[TabÜberschriftNote],BE$3),FIND("X",INDEX(StdDisziplinen[TabÜberschriftNote],BE$3),1),2,BH30))</f>
        <v/>
      </c>
      <c r="BM30" s="31" t="str">
        <f ca="1">IF(OR(BL30="",WeitsprungSkalawert[[#This Row],[Skala-Wert]]=Stammdaten!$AX$19),"",INDEX(INDIRECT(BL30),MATCH(WeitsprungSkalawert[[#This Row],[Skala-Wert]],INDIRECT(BI30),0)))</f>
        <v/>
      </c>
      <c r="BN30" s="31"/>
      <c r="BO30" s="37"/>
      <c r="BP30" s="190"/>
      <c r="BQ30" s="154">
        <f>IF(BQ$16,IF(BR$16=0.5,MROUND(BallwurfResultat[[#This Row],[Resultat]],BR$16),ROUND(BallwurfResultat[[#This Row],[Resultat]],BR$16)),ROUNDDOWN(BallwurfResultat[[#This Row],[Resultat]],BR$16))</f>
        <v>0</v>
      </c>
      <c r="BR30" s="191" t="str">
        <f>IF(OR(Geschlecht[[#This Row],[Geschlecht (Skala)]]="",BO$16=""),"",MID(Geschlecht[[#This Row],[Geschlecht (Skala)]],1,1)&amp;MID(BO$16,1,1))</f>
        <v/>
      </c>
      <c r="BS30" s="190" t="str">
        <f>IF(OR(BR30="",BallwurfResultat[[#This Row],[Resultat]]=""),"",REPLACE(INDEX(StdDisziplinen[TabÜberschriftResultat],BO$3),FIND("X",INDEX(StdDisziplinen[TabÜberschriftResultat],BO$3),1),2,BR30))</f>
        <v/>
      </c>
      <c r="BT30" s="45" t="str">
        <f ca="1">IF(BS30="","",IF(OR(BallwurfResultat[[#This Row],[Resultat]]=Stammdaten!$AX$22,BallwurfResultat[[#This Row],[Resultat]]=Stammdaten!$AX$19),Stammdaten!$AX$19,IF(ISNA(INDEX(INDIRECT(BS30),MATCH(BallwurfGerundet[[#This Row],[Rundung]],INDIRECT(BS30),BS$18))),IF(BS$18=-1,LARGE(INDIRECT(BS30),1),SMALL(INDIRECT(BS30),1)),INDEX(INDIRECT(BS30),MATCH(BallwurfGerundet[[#This Row],[Rundung]],INDIRECT(BS30),BS$18)))))</f>
        <v/>
      </c>
      <c r="BV30" s="18" t="str">
        <f ca="1">IF(BallwurfSkalawert[[#This Row],[Skala-Wert]]="","",REPLACE(INDEX(StdDisziplinen[TabÜberschriftNote],BO$3),FIND("X",INDEX(StdDisziplinen[TabÜberschriftNote],BO$3),1),2,BR30))</f>
        <v/>
      </c>
      <c r="BW30" s="31" t="str">
        <f ca="1">IF(OR(BV30="",BallwurfSkalawert[[#This Row],[Skala-Wert]]=Stammdaten!$AX$19),"",INDEX(INDIRECT(BV30),MATCH(BallwurfSkalawert[[#This Row],[Skala-Wert]],INDIRECT(BS30),0)))</f>
        <v/>
      </c>
      <c r="BX30" s="31"/>
      <c r="BY30" s="598"/>
      <c r="BZ30" s="190"/>
      <c r="CA30" s="154">
        <f>IF(CA$16,IF(CB$16=0.5,MROUND(KugelstossenResultat[[#This Row],[Resultat]],CB$16),ROUND(KugelstossenResultat[[#This Row],[Resultat]],CB$16)),ROUNDDOWN(KugelstossenResultat[[#This Row],[Resultat]],CB$16))</f>
        <v>0</v>
      </c>
      <c r="CB30" s="191" t="str">
        <f>IF(OR(Geschlecht[[#This Row],[Geschlecht (Skala)]]="",BY$16=""),"",MID(Geschlecht[[#This Row],[Geschlecht (Skala)]],1,1)&amp;MID(BY$16,1,1))</f>
        <v/>
      </c>
      <c r="CC30" s="190" t="str">
        <f>IF(OR(CB30="",KugelstossenResultat[[#This Row],[Resultat]]=""),"",REPLACE(INDEX(StdDisziplinen[TabÜberschriftResultat],BY$3),FIND("X",INDEX(StdDisziplinen[TabÜberschriftResultat],BY$3),1),2,CB30))</f>
        <v/>
      </c>
      <c r="CD30" s="45" t="str">
        <f ca="1">IF(CC30="","",IF(OR(KugelstossenResultat[[#This Row],[Resultat]]=Stammdaten!$AX$22,KugelstossenResultat[[#This Row],[Resultat]]=Stammdaten!$AX$19),Stammdaten!$AX$19,IF(ISNA(INDEX(INDIRECT(CC30),MATCH(KugelstossenGerundet[[#This Row],[Rundung]],INDIRECT(CC30),CC$18))),IF(CC$18=-1,LARGE(INDIRECT(CC30),1),SMALL(INDIRECT(CC30),1)),INDEX(INDIRECT(CC30),MATCH(KugelstossenGerundet[[#This Row],[Rundung]],INDIRECT(CC30),CC$18)))))</f>
        <v/>
      </c>
      <c r="CF30" s="18" t="str">
        <f ca="1">IF(KugelstossenSkalawert[[#This Row],[Skala-Wert]]="","",REPLACE(INDEX(StdDisziplinen[TabÜberschriftNote],BY$3),FIND("X",INDEX(StdDisziplinen[TabÜberschriftNote],BY$3),1),2,CB30))</f>
        <v/>
      </c>
      <c r="CG30" s="31" t="str">
        <f ca="1">IF(OR(CF30="",KugelstossenSkalawert[[#This Row],[Skala-Wert]]=Stammdaten!$AX$19),"",INDEX(INDIRECT(CF30),MATCH(KugelstossenSkalawert[[#This Row],[Skala-Wert]],INDIRECT(CC30),0)))</f>
        <v/>
      </c>
      <c r="CH30" s="31"/>
      <c r="CI30" s="37"/>
      <c r="CJ30" s="190"/>
      <c r="CK30" s="154">
        <f>IF(CK$16,IF(CL$16=0.5,MROUND(SpeerwurfResultat[[#This Row],[Resultat]],CL$16),ROUND(SpeerwurfResultat[[#This Row],[Resultat]],CL$16)),ROUNDDOWN(SpeerwurfResultat[[#This Row],[Resultat]],CL$16))</f>
        <v>0</v>
      </c>
      <c r="CL30" s="191" t="str">
        <f>IF(OR(Geschlecht[[#This Row],[Geschlecht (Skala)]]="",CI$16=""),"",MID(Geschlecht[[#This Row],[Geschlecht (Skala)]],1,1)&amp;MID(CI$16,1,1))</f>
        <v/>
      </c>
      <c r="CM30" s="190" t="str">
        <f>IF(OR(CL30="",SpeerwurfResultat[[#This Row],[Resultat]]=""),"",REPLACE(INDEX(StdDisziplinen[TabÜberschriftResultat],CI$3),FIND("X",INDEX(StdDisziplinen[TabÜberschriftResultat],CI$3),1),2,CL30))</f>
        <v/>
      </c>
      <c r="CN30" s="45" t="str">
        <f ca="1">IF(CM30="","",IF(OR(SpeerwurfResultat[[#This Row],[Resultat]]=Stammdaten!$AX$22,SpeerwurfResultat[[#This Row],[Resultat]]=Stammdaten!$AX$19),Stammdaten!$AX$19,IF(ISNA(INDEX(INDIRECT(CM30),MATCH(SpeerwurfGerundet[[#This Row],[Rundung]],INDIRECT(CM30),CM$18))),IF(CM$18=-1,LARGE(INDIRECT(CM30),1),SMALL(INDIRECT(CM30),1)),INDEX(INDIRECT(CM30),MATCH(SpeerwurfGerundet[[#This Row],[Rundung]],INDIRECT(CM30),CM$18)))))</f>
        <v/>
      </c>
      <c r="CP30" s="18" t="str">
        <f ca="1">IF(SpeerwurfSkalawert[[#This Row],[Skala-Wert]]="","",REPLACE(INDEX(StdDisziplinen[TabÜberschriftNote],CI$3),FIND("X",INDEX(StdDisziplinen[TabÜberschriftNote],CI$3),1),2,CL30))</f>
        <v/>
      </c>
      <c r="CQ30" s="31" t="str">
        <f ca="1">IF(OR(CP30="",SpeerwurfSkalawert[[#This Row],[Skala-Wert]]=Stammdaten!$AX$19),"",INDEX(INDIRECT(CP30),MATCH(SpeerwurfSkalawert[[#This Row],[Skala-Wert]],INDIRECT(CM30),0)))</f>
        <v/>
      </c>
      <c r="CR30" s="31"/>
      <c r="CS30" s="31" t="str">
        <f t="shared" ca="1" si="50"/>
        <v/>
      </c>
      <c r="CT30" s="31" t="str">
        <f t="shared" ca="1" si="50"/>
        <v/>
      </c>
      <c r="CU30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Row],[Skala-Wert]])&gt;0,MAX(CS30:CT30),99))</f>
        <v>Keine Note</v>
      </c>
      <c r="CV30" s="202" t="str">
        <f t="shared" ca="1" si="51"/>
        <v/>
      </c>
      <c r="CW30" s="202" t="str">
        <f ca="1">IF(CV30=$A$2,CS$10&amp;Stammdaten!$AX$25,IF(CU30=INDEX(StdFehler[],3),CS$10&amp;Stammdaten!$AX$27,INDEX(INDIRECT($B$4),MATCH(CV30,INDIRECT($B$5),0))))</f>
        <v>Sprintdisziplinen nicht durchgeführt</v>
      </c>
      <c r="CX30" s="202" t="str">
        <f ca="1">IFERROR(INDEX(INDIRECT(CX$12),MATCH(CV30,StdDisziplinen[ID],0)),"")</f>
        <v/>
      </c>
      <c r="CY30" s="202" t="e">
        <f t="shared" ca="1" si="52"/>
        <v>#N/A</v>
      </c>
      <c r="CZ30" s="202" t="e">
        <f t="shared" ca="1" si="53"/>
        <v>#N/A</v>
      </c>
      <c r="DA30" s="98" t="str">
        <f t="shared" ca="1" si="223"/>
        <v/>
      </c>
      <c r="DB30" s="202" t="e">
        <f t="shared" ca="1" si="54"/>
        <v>#N/A</v>
      </c>
      <c r="DC30" s="202" t="str">
        <f t="shared" ca="1" si="55"/>
        <v/>
      </c>
      <c r="DD30" s="31" t="str">
        <f t="shared" ca="1" si="56"/>
        <v/>
      </c>
      <c r="DE30" s="31" t="str">
        <f t="shared" ca="1" si="56"/>
        <v/>
      </c>
      <c r="DF30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Row],[Skala-Wert]])&gt;0,MAX(DD30:DE30),99))</f>
        <v>Keine Note</v>
      </c>
      <c r="DG30" s="202" t="str">
        <f t="shared" ca="1" si="57"/>
        <v/>
      </c>
      <c r="DH30" s="202" t="str">
        <f ca="1">IF(DG30=$A$2,DD$10&amp;Stammdaten!$AX$25,IF(DF30=INDEX(StdFehler[],3),DD$10&amp;Stammdaten!$AX$27,INDEX(INDIRECT($B$4),MATCH(DG30,INDIRECT($B$5),0))))</f>
        <v>Ausdauerdisziplinen nicht durchgeführt</v>
      </c>
      <c r="DI30" s="202" t="str">
        <f ca="1">IFERROR(INDEX(INDIRECT(DI$12),MATCH(DG30,StdDisziplinen[ID],0)),"")</f>
        <v/>
      </c>
      <c r="DJ30" s="202" t="e">
        <f t="shared" ca="1" si="58"/>
        <v>#N/A</v>
      </c>
      <c r="DK30" s="202" t="e">
        <f t="shared" ca="1" si="59"/>
        <v>#N/A</v>
      </c>
      <c r="DL30" s="96" t="str">
        <f t="shared" ca="1" si="60"/>
        <v/>
      </c>
      <c r="DM30" s="202" t="e">
        <f t="shared" ca="1" si="61"/>
        <v>#N/A</v>
      </c>
      <c r="DN30" s="202" t="str">
        <f t="shared" ca="1" si="62"/>
        <v/>
      </c>
      <c r="DO30" s="31" t="str">
        <f t="shared" ca="1" si="63"/>
        <v/>
      </c>
      <c r="DP30" s="31" t="str">
        <f t="shared" ca="1" si="63"/>
        <v/>
      </c>
      <c r="DQ30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Row],[Skala-Wert]])&gt;0,MAX(DO30:DP30),99))</f>
        <v>Keine Note</v>
      </c>
      <c r="DR30" s="202" t="str">
        <f t="shared" ca="1" si="64"/>
        <v/>
      </c>
      <c r="DS30" s="202" t="str">
        <f ca="1">IF(DR30=$A$2,DO$10&amp;Stammdaten!$AX$25,IF(DQ30=INDEX(StdFehler[],3),DO$10&amp;Stammdaten!$AX$27,INDEX(INDIRECT($B$4),MATCH(DR30,INDIRECT($B$5),0))))</f>
        <v>Sprungdisziplinen nicht durchgeführt</v>
      </c>
      <c r="DT30" s="202" t="str">
        <f ca="1">IFERROR(INDEX(INDIRECT(DT$12),MATCH(DR30,StdDisziplinen[ID],0)),"")</f>
        <v/>
      </c>
      <c r="DU30" s="202" t="e">
        <f t="shared" ca="1" si="65"/>
        <v>#N/A</v>
      </c>
      <c r="DV30" s="202" t="e">
        <f t="shared" ca="1" si="66"/>
        <v>#N/A</v>
      </c>
      <c r="DW30" s="202" t="str">
        <f t="shared" ca="1" si="67"/>
        <v/>
      </c>
      <c r="DX30" s="202" t="e">
        <f t="shared" ca="1" si="68"/>
        <v>#N/A</v>
      </c>
      <c r="DY30" s="202" t="str">
        <f t="shared" ca="1" si="69"/>
        <v/>
      </c>
      <c r="DZ30" s="31" t="str">
        <f ca="1">IF(BallwurfSkalawert[[#This Row],[Skala-Wert]]=$A$3,$A$2,IF(ISNUMBER(BallwurfSkalawert[[#This Row],[Skala-Wert]]),BallwurfNote[[#This Row],[Note]],"!"))</f>
        <v>!</v>
      </c>
      <c r="EA30" s="31" t="str">
        <f ca="1">IF(KugelstossenSkalawert[[#This Row],[Skala-Wert]]=$A$3,$A$2,IF(ISNUMBER(KugelstossenSkalawert[[#This Row],[Skala-Wert]]),KugelstossenNote[[#This Row],[Note]],"!"))</f>
        <v>!</v>
      </c>
      <c r="EB30" s="31" t="str">
        <f ca="1">IF(SpeerwurfSkalawert[[#This Row],[Skala-Wert]]=$A$3,$A$2,IF(ISNUMBER(SpeerwurfSkalawert[[#This Row],[Skala-Wert]]),SpeerwurfNote[[#This Row],[Note]],"!"))</f>
        <v>!</v>
      </c>
      <c r="EC30" s="95" t="str">
        <f ca="1">IF(ED30&gt;0,MAX(DZ30:EB30),IF(EE30&gt;0,99,INDEX(StdFehler[StdFehler],3)))</f>
        <v>Keine Note</v>
      </c>
      <c r="ED30" s="202">
        <f t="shared" ca="1" si="70"/>
        <v>0</v>
      </c>
      <c r="EE30" s="202">
        <f t="shared" ca="1" si="71"/>
        <v>0</v>
      </c>
      <c r="EF30" s="202" t="str">
        <f t="shared" ca="1" si="72"/>
        <v/>
      </c>
      <c r="EG30" s="202" t="str">
        <f ca="1">IF(EF30=$A$2,DZ$10&amp;Stammdaten!$AX$25,IF(EC30=INDEX(StdFehler[],3),DZ$10&amp;Stammdaten!$AX$27,INDEX(INDIRECT($B$4),MATCH(EF30,INDIRECT($B$5),0))))</f>
        <v>Wurfdisziplinen nicht durchgeführt</v>
      </c>
      <c r="EH30" s="202" t="str">
        <f ca="1">IFERROR(INDEX(INDIRECT(EH$12),MATCH(EF30,StdDisziplinen[ID],0)),"")</f>
        <v/>
      </c>
      <c r="EI30" s="202" t="e">
        <f t="shared" ca="1" si="73"/>
        <v>#N/A</v>
      </c>
      <c r="EJ30" s="202" t="e">
        <f t="shared" ca="1" si="74"/>
        <v>#N/A</v>
      </c>
      <c r="EK30" s="98" t="str">
        <f t="shared" ca="1" si="75"/>
        <v/>
      </c>
      <c r="EL30" s="202" t="e">
        <f t="shared" ca="1" si="76"/>
        <v>#N/A</v>
      </c>
      <c r="EM30" s="202" t="str">
        <f t="shared" ca="1" si="77"/>
        <v/>
      </c>
      <c r="EN30" s="200">
        <f t="shared" ca="1" si="1"/>
        <v>0</v>
      </c>
      <c r="EO30" s="202">
        <f t="shared" ca="1" si="78"/>
        <v>0</v>
      </c>
      <c r="EP30" s="96">
        <f t="shared" ca="1" si="2"/>
        <v>0</v>
      </c>
      <c r="EQ30" s="96">
        <f t="shared" ca="1" si="3"/>
        <v>0</v>
      </c>
      <c r="ER30" s="96">
        <f t="shared" ca="1" si="4"/>
        <v>0</v>
      </c>
      <c r="ES30" s="96">
        <f t="shared" ca="1" si="5"/>
        <v>0</v>
      </c>
      <c r="ET30" s="202">
        <f t="shared" ca="1" si="79"/>
        <v>0</v>
      </c>
      <c r="EU30" s="202" t="str">
        <f ca="1">IF($EO30=$FA$4,Stammdaten!$AX$19,IF(COUNTIF($EP30:$ES30,0)&lt;&gt;0,INDEX(StdFehler[StdFehler],4),ROUND(SUM($ET30/$EN30)/$FC$4,0)*$FC$4))</f>
        <v>Zu wenige Noten</v>
      </c>
      <c r="EV30" s="202" t="str">
        <f t="shared" ca="1" si="6"/>
        <v>Zu wenige Noten</v>
      </c>
      <c r="EW30" s="202" t="str">
        <f t="shared" ca="1" si="80"/>
        <v>Zu wenige Noten</v>
      </c>
      <c r="EX30" s="202" t="str">
        <f t="shared" ca="1" si="80"/>
        <v>Zu wenige Noten</v>
      </c>
      <c r="EY30" s="202" t="str">
        <f t="shared" ca="1" si="80"/>
        <v>Zu wenige Noten</v>
      </c>
      <c r="EZ30" s="202" t="str">
        <f t="shared" ca="1" si="81"/>
        <v>Zu wenige Noten</v>
      </c>
      <c r="FA30" s="202" t="str">
        <f t="shared" ca="1" si="82"/>
        <v>Zu wenige Noten</v>
      </c>
      <c r="FB30" s="31"/>
      <c r="FC30" s="56" t="str">
        <f t="shared" ca="1" si="83"/>
        <v>Zu wenige Noten</v>
      </c>
      <c r="FD30" s="31"/>
      <c r="FE30" s="597"/>
      <c r="FF30" s="190"/>
      <c r="FJ30" s="31"/>
      <c r="FK30" s="597"/>
      <c r="FL30" s="190"/>
      <c r="FP30" s="31"/>
      <c r="FQ30" s="597"/>
      <c r="FR30" s="190"/>
      <c r="FV30" s="31"/>
      <c r="FW30" s="597"/>
      <c r="FX30" s="190"/>
      <c r="GB30" s="31"/>
      <c r="GC30" s="597"/>
      <c r="GD30" s="190"/>
      <c r="GF30" s="154"/>
      <c r="GH30" s="31"/>
      <c r="GI30" s="597"/>
      <c r="GJ30" s="190"/>
      <c r="GN30" s="45"/>
      <c r="GO30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0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0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0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0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0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0" s="202">
        <f t="shared" si="7"/>
        <v>0</v>
      </c>
      <c r="GV30" s="202">
        <f t="shared" si="8"/>
        <v>0</v>
      </c>
      <c r="GW30" s="202">
        <f t="shared" si="84"/>
        <v>0</v>
      </c>
      <c r="GX30" s="200" t="str">
        <f t="shared" si="85"/>
        <v>!</v>
      </c>
      <c r="GY30" s="200" t="str">
        <f t="shared" si="9"/>
        <v>!</v>
      </c>
      <c r="GZ30" s="200" t="str">
        <f t="shared" si="10"/>
        <v>!</v>
      </c>
      <c r="HA30" s="244" t="str">
        <f t="shared" si="86"/>
        <v>nd</v>
      </c>
      <c r="HB30" s="244" t="str">
        <f t="shared" si="87"/>
        <v>nd</v>
      </c>
      <c r="HC30" s="244" t="str">
        <f t="shared" si="88"/>
        <v>nd</v>
      </c>
      <c r="HD30" s="244" t="str">
        <f t="shared" si="89"/>
        <v>nd</v>
      </c>
      <c r="HE30" s="244" t="str">
        <f t="shared" si="90"/>
        <v>nd</v>
      </c>
      <c r="HF30" s="244" t="str">
        <f t="shared" si="91"/>
        <v>nd</v>
      </c>
      <c r="HG30" s="202" t="b">
        <f t="shared" si="92"/>
        <v>0</v>
      </c>
      <c r="HH30" s="202">
        <f t="shared" si="93"/>
        <v>1</v>
      </c>
      <c r="HI30" s="202">
        <f t="shared" si="94"/>
        <v>0</v>
      </c>
      <c r="HJ30" s="200" t="str">
        <f t="shared" si="95"/>
        <v/>
      </c>
      <c r="HK30" s="200" t="str">
        <f t="shared" si="96"/>
        <v/>
      </c>
      <c r="HL30" s="200">
        <f t="shared" si="97"/>
        <v>0</v>
      </c>
      <c r="HM30" s="202" t="str">
        <f t="shared" si="98"/>
        <v/>
      </c>
      <c r="HN30" s="200" t="str">
        <f t="shared" si="99"/>
        <v/>
      </c>
      <c r="HO30" s="200" t="str">
        <f t="shared" si="100"/>
        <v/>
      </c>
      <c r="HP30" s="200" t="str">
        <f t="shared" si="101"/>
        <v/>
      </c>
      <c r="HQ30" s="242" t="str">
        <f t="shared" si="102"/>
        <v/>
      </c>
      <c r="HR30" s="242" t="str">
        <f t="shared" si="103"/>
        <v/>
      </c>
      <c r="HS30" s="242" t="str">
        <f t="shared" si="104"/>
        <v/>
      </c>
      <c r="HT30" s="242" t="str">
        <f t="shared" ca="1" si="105"/>
        <v>Erstes Gerät</v>
      </c>
      <c r="HU30" s="242" t="str">
        <f ca="1">IF(HT30=$HS$12,Stammdaten!$AY$27,IF(HW30=$A$2,TRIM(Stammdaten!$AX$25),""))</f>
        <v>nicht durchgeführt</v>
      </c>
      <c r="HV30" s="242" t="str">
        <f t="shared" ca="1" si="106"/>
        <v/>
      </c>
      <c r="HW30" s="277" t="str">
        <f t="shared" si="11"/>
        <v/>
      </c>
      <c r="HX30" s="202" t="str">
        <f t="shared" si="107"/>
        <v/>
      </c>
      <c r="HY30" s="202" t="str">
        <f t="shared" ca="1" si="108"/>
        <v/>
      </c>
      <c r="HZ30" s="202" t="str">
        <f t="shared" ca="1" si="109"/>
        <v>StdDisziplinen[MaxTextSt]</v>
      </c>
      <c r="IA30" s="202" t="str">
        <f t="shared" ca="1" si="12"/>
        <v/>
      </c>
      <c r="IB30" s="202" t="b">
        <f t="shared" si="110"/>
        <v>0</v>
      </c>
      <c r="IC30" s="202" t="str">
        <f t="shared" si="111"/>
        <v/>
      </c>
      <c r="ID30" s="202" t="str">
        <f t="shared" si="112"/>
        <v/>
      </c>
      <c r="IE30" s="202" t="str">
        <f t="shared" si="113"/>
        <v/>
      </c>
      <c r="IF30" s="202" t="str">
        <f t="shared" si="114"/>
        <v/>
      </c>
      <c r="IG30" s="242" t="str">
        <f t="shared" si="115"/>
        <v/>
      </c>
      <c r="IH30" s="242" t="str">
        <f t="shared" si="116"/>
        <v/>
      </c>
      <c r="II30" s="242" t="str">
        <f t="shared" ca="1" si="13"/>
        <v>Zweites Gerät</v>
      </c>
      <c r="IJ30" s="242" t="str">
        <f ca="1">IF(II30=$IH$12,Stammdaten!$AY$27,IF(IL30=$A$2,TRIM(Stammdaten!$AX$25),""))</f>
        <v>nicht durchgeführt</v>
      </c>
      <c r="IK30" s="242" t="str">
        <f t="shared" ca="1" si="117"/>
        <v/>
      </c>
      <c r="IL30" s="200" t="str">
        <f t="shared" si="14"/>
        <v/>
      </c>
      <c r="IM30" s="202" t="str">
        <f t="shared" si="118"/>
        <v/>
      </c>
      <c r="IN30" s="202" t="str">
        <f t="shared" ca="1" si="119"/>
        <v/>
      </c>
      <c r="IO30" s="202" t="str">
        <f t="shared" ca="1" si="120"/>
        <v>StdDisziplinen[MaxTextSt]</v>
      </c>
      <c r="IP30" s="202" t="str">
        <f t="shared" ca="1" si="121"/>
        <v/>
      </c>
      <c r="IQ30" s="202" t="b">
        <f t="shared" si="122"/>
        <v>0</v>
      </c>
      <c r="IR30" s="242" t="str">
        <f t="shared" ca="1" si="15"/>
        <v>Drittes Gerät</v>
      </c>
      <c r="IS30" s="242" t="str">
        <f ca="1">IF(IR30=$IR$12,MID(Stammdaten!$AX$27,2,LEN(Stammdaten!$AX$27)),IF(IU30=$A$2,TRIM(Stammdaten!$AX$25),""))</f>
        <v>nicht durchgeführt</v>
      </c>
      <c r="IT30" s="242" t="str">
        <f t="shared" ca="1" si="16"/>
        <v/>
      </c>
      <c r="IU30" s="200" t="str">
        <f t="shared" si="17"/>
        <v/>
      </c>
      <c r="IV30" s="202" t="str">
        <f t="shared" si="123"/>
        <v/>
      </c>
      <c r="IW30" s="202" t="str">
        <f t="shared" ca="1" si="124"/>
        <v/>
      </c>
      <c r="IX30" s="202" t="str">
        <f t="shared" ca="1" si="125"/>
        <v>StdDisziplinen[MaxTextSt]</v>
      </c>
      <c r="IY30" s="202" t="str">
        <f t="shared" ca="1" si="18"/>
        <v/>
      </c>
      <c r="IZ30" s="200" t="str">
        <f>IF(NOT(GW30),INDEX(StdFehler[StdFehler],4),IF(COUNTIF(GX30:GZ30,$A$2)&gt;=$IZ$4,$A$3,SUM(GX30:GZ30)))</f>
        <v>Zu wenige Noten</v>
      </c>
      <c r="JA30" s="31"/>
      <c r="JB30" s="587" t="e">
        <f t="shared" si="19"/>
        <v>#VALUE!</v>
      </c>
      <c r="JC30" s="191" t="str">
        <f>IF(OR(Geschlecht[[#This Row],[Geschlecht (Skala)]]="",IZ30=""),"",MID(Geschlecht[[#This Row],[Geschlecht (Skala)]],1,1)&amp;MID($FE$16,1,1))</f>
        <v/>
      </c>
      <c r="JD30" s="190" t="str">
        <f>IF(OR(JC30="",IZ30=""),"",REPLACE(INDEX(StdDisziplinen[TabÜberschriftResultat],$FE$3),FIND("X",INDEX(StdDisziplinen[TabÜberschriftResultat],$FE$3),1),2,JC30))</f>
        <v/>
      </c>
      <c r="JE30" s="192" t="str">
        <f ca="1">IF(OR(JD30="",IZ30=Stammdaten!$AZ$5),"",IF(OR(IZ30=Stammdaten!$AX$22,IZ30=Stammdaten!$AX$19),Stammdaten!$AX$19,IF(ISNA(INDEX(INDIRECT(JD30),MATCH(GeräteturnenGerundet[[#This Row],[Rundung]],INDIRECT(JD30),$JD$16))),IF($JD$16=-1,LARGE(INDIRECT(JD30),1),SMALL(INDIRECT(JD30),1)),INDEX(INDIRECT(JD30),MATCH(GeräteturnenGerundet[[#This Row],[Rundung]],INDIRECT(JD30),$JD$16)))))</f>
        <v/>
      </c>
      <c r="JG30" s="18" t="str">
        <f ca="1">IF(GeräteturnenSkalawert[[#This Row],[Skala-Wert]]="","",REPLACE(INDEX(StdDisziplinen[TabÜberschriftNote],$FE$3),FIND("X",INDEX(StdDisziplinen[TabÜberschriftNote],$FE$3),1),2,JC30))</f>
        <v/>
      </c>
      <c r="JH30" s="45" t="str">
        <f ca="1">IF(OR(JG30="",GeräteturnenSkalawert[[#This Row],[Skala-Wert]]=Stammdaten!$AX$19),"",INDEX(INDIRECT(JG30),MATCH(GeräteturnenSkalawert[[#This Row],[Skala-Wert]],INDIRECT(JD30),0)))</f>
        <v/>
      </c>
      <c r="JI30" s="31"/>
      <c r="JJ30" s="597"/>
      <c r="JK30" s="190"/>
      <c r="JL30" s="587">
        <f>IF(JL$16,IF(JM$16=0.5,MROUND(ParkourResultat[[#This Row],[Resultat]],JM$16),ROUND(ParkourResultat[[#This Row],[Resultat]],JM$16)),ROUNDDOWN(ParkourResultat[[#This Row],[Resultat]],JM$16))</f>
        <v>0</v>
      </c>
      <c r="JM30" s="191" t="str">
        <f>IF(OR(Geschlecht[[#This Row],[Geschlecht (Skala)]]="",JJ$16=""),"",MID(Geschlecht[[#This Row],[Geschlecht (Skala)]],1,1)&amp;MID(JJ$16,1,1))</f>
        <v/>
      </c>
      <c r="JN30" s="190" t="str">
        <f>IF(OR(JM30="",ParkourResultat[[#This Row],[Resultat]]=""),"",REPLACE(INDEX(StdDisziplinen[TabÜberschriftResultat],JJ$3),FIND("X",INDEX(StdDisziplinen[TabÜberschriftResultat],JJ$3),1),2,JM30))</f>
        <v/>
      </c>
      <c r="JO30" s="192" t="str">
        <f ca="1">IF(JN30="","",IF(OR(ParkourResultat[[#This Row],[Resultat]]=Stammdaten!$AX$22,ParkourResultat[[#This Row],[Resultat]]=Stammdaten!$AX$19),Stammdaten!$AX$19,IF(ISNA(INDEX(INDIRECT(JN30),MATCH(ParkourGerundet[[#This Row],[Rundung]],INDIRECT(JN30),JN$18))),IF(JN$18=-1,LARGE(INDIRECT(JN30),1),SMALL(INDIRECT(JN30),1)),INDEX(INDIRECT(JN30),MATCH(ParkourGerundet[[#This Row],[Rundung]],INDIRECT(JN30),JN$18)))))</f>
        <v/>
      </c>
      <c r="JQ30" s="18" t="str">
        <f ca="1">IF(ParkourSkalawert[[#This Row],[Skala-Wert]]="","",REPLACE(INDEX(StdDisziplinen[TabÜberschriftNote],JJ$3),FIND("X",INDEX(StdDisziplinen[TabÜberschriftNote],JJ$3),1),2,JM30))</f>
        <v/>
      </c>
      <c r="JR30" s="31" t="str">
        <f ca="1">IF(OR(JQ30="",ParkourSkalawert[[#This Row],[Skala-Wert]]=Stammdaten!$AX$19),"",INDEX(INDIRECT(JQ30),MATCH(ParkourSkalawert[[#This Row],[Skala-Wert]],INDIRECT(JN30),0)))</f>
        <v/>
      </c>
      <c r="JS30" s="96"/>
      <c r="JT30" s="47" t="str">
        <f ca="1">IF(OR(ISNUMBER(ParkourSkalawert[[#This Row],[Skala-Wert]]),ParkourSkalawert[[#This Row],[Skala-Wert]]=$A$3),INDEX(INDIRECT($JU$1),MATCH($JJ$3,INDIRECT($B$5),0)),"")</f>
        <v/>
      </c>
      <c r="JU30" s="200" t="str">
        <f t="shared" ca="1" si="126"/>
        <v>StdDisziplinen[MaxTextSt]</v>
      </c>
      <c r="JV30" s="200" t="str">
        <f t="shared" ca="1" si="127"/>
        <v/>
      </c>
      <c r="JW30" s="98">
        <f ca="1">IF(GeräteturnenSkalawert[[#This Row],[Skala-Wert]]=$A$3,$A$2,IF(GeräteturnenNote[[#This Row],[Note]]="",0,GeräteturnenNote[[#This Row],[Note]]))</f>
        <v>0</v>
      </c>
      <c r="JX30" s="96">
        <f ca="1">IF(ParkourSkalawert[[#This Row],[Skala-Wert]]=$A$3,$A$2,IF(ParkourNote[[#This Row],[Note]]="",0,ParkourNote[[#This Row],[Note]]))</f>
        <v>0</v>
      </c>
      <c r="JY30" s="200">
        <f t="shared" ca="1" si="128"/>
        <v>0</v>
      </c>
      <c r="JZ30" s="200">
        <f t="shared" ca="1" si="129"/>
        <v>0</v>
      </c>
      <c r="KA30" s="202">
        <f t="shared" ca="1" si="130"/>
        <v>0</v>
      </c>
      <c r="KB30" s="98" t="str">
        <f t="shared" ca="1" si="20"/>
        <v>!</v>
      </c>
      <c r="KC30" s="98" t="str">
        <f t="shared" ca="1" si="21"/>
        <v>!</v>
      </c>
      <c r="KD30" s="202" t="str">
        <f ca="1">IF(NOT(KA30),INDEX(StdFehler[StdFehler],4),IF(JZ30=$KA$12,$A$3,IF(JW30=$A$2,JX30,IF(JX30=$A$2,JW30,CONCATENATE(JW30,", ",JX30)))))</f>
        <v>Zu wenige Noten</v>
      </c>
      <c r="KE30" s="202" t="str">
        <f t="shared" ca="1" si="131"/>
        <v>Zu wenige Noten</v>
      </c>
      <c r="KF30" s="31"/>
      <c r="KG30" s="56" t="str">
        <f ca="1">IF(NOT(KA30),INDEX(StdFehler[StdFehler],4),IF(JZ30=$KA$12,$A$3,ROUND(AVERAGE(KB30:KC30)/$KG$4,0)*$KG$4))</f>
        <v>Zu wenige Noten</v>
      </c>
      <c r="KH30" s="31"/>
      <c r="KI30" s="599"/>
      <c r="KJ30" s="190"/>
      <c r="KK30" s="586">
        <f>IF(KK$16,IF(KL$16=0.5,MROUND(TanzenResultat[[#This Row],[Resultat]],KL$16),ROUND(TanzenResultat[[#This Row],[Resultat]],KL$16)),ROUNDDOWN(TanzenResultat[[#This Row],[Resultat]],KL$16))</f>
        <v>0</v>
      </c>
      <c r="KL30" s="191" t="str">
        <f>IF(OR(Geschlecht[[#This Row],[Geschlecht (Skala)]]="",KI$16=""),"",MID(Geschlecht[[#This Row],[Geschlecht (Skala)]],1,1)&amp;MID(KI$16,1,1))</f>
        <v/>
      </c>
      <c r="KM30" s="190" t="str">
        <f>IF(OR(KL30="",TanzenResultat[[#This Row],[Resultat]]=""),"",REPLACE(INDEX(StdDisziplinen[TabÜberschriftResultat],KI$3),FIND("X",INDEX(StdDisziplinen[TabÜberschriftResultat],KI$3),1),2,KL30))</f>
        <v/>
      </c>
      <c r="KN30" s="31" t="str">
        <f ca="1">IF(KM30="","",IF(OR(TanzenResultat[[#This Row],[Resultat]]=Stammdaten!$AX$22,TanzenResultat[[#This Row],[Resultat]]=Stammdaten!$AX$19),Stammdaten!$AX$19,IF(ISNA(INDEX(INDIRECT(KM30),MATCH(TanzenGerundet[[#This Row],[Rundung]],INDIRECT(KM30),KM$18))),IF(KM$18=-1,LARGE(INDIRECT(KM30),1),SMALL(INDIRECT(KM30),1)),INDEX(INDIRECT(KM30),MATCH(TanzenGerundet[[#This Row],[Rundung]],INDIRECT(KM30),KM$18)))))</f>
        <v/>
      </c>
      <c r="KP30" s="18" t="str">
        <f ca="1">IF(TanzenSkalawert[[#This Row],[Skala-Wert]]="","",REPLACE(INDEX(StdDisziplinen[TabÜberschriftNote],KI$3),FIND("X",INDEX(StdDisziplinen[TabÜberschriftNote],KI$3),1),2,KL30))</f>
        <v/>
      </c>
      <c r="KQ30" s="45" t="str">
        <f ca="1">IF(OR(KP30="",TanzenSkalawert[[#This Row],[Skala-Wert]]=Stammdaten!$AX$19),"",INDEX(INDIRECT(KP30),MATCH(TanzenSkalawert[[#This Row],[Skala-Wert]],INDIRECT(KM30),0)))</f>
        <v/>
      </c>
      <c r="KR30" s="31"/>
      <c r="KS30" s="597"/>
      <c r="KT30" s="190"/>
      <c r="KU30" s="587">
        <f>IF(KU$16,IF(KV$16=0.5,MROUND(RopeSkippingResultat[[#This Row],[Resultat]],KV$16),ROUND(RopeSkippingResultat[[#This Row],[Resultat]],KV$16)),ROUNDDOWN(RopeSkippingResultat[[#This Row],[Resultat]],KV$16))</f>
        <v>0</v>
      </c>
      <c r="KV30" s="191" t="str">
        <f>IF(OR(Geschlecht[[#This Row],[Geschlecht (Skala)]]="",KS$16=""),"",MID(Geschlecht[[#This Row],[Geschlecht (Skala)]],1,1)&amp;MID(KS$16,1,1))</f>
        <v/>
      </c>
      <c r="KW30" s="190" t="str">
        <f>IF(OR(KV30="",RopeSkippingResultat[[#This Row],[Resultat]]=""),"",REPLACE(INDEX(StdDisziplinen[TabÜberschriftResultat],KS$3),FIND("X",INDEX(StdDisziplinen[TabÜberschriftResultat],KS$3),1),2,KV30))</f>
        <v/>
      </c>
      <c r="KX30" s="192" t="str">
        <f ca="1">IF(KW30="","",IF(OR(RopeSkippingResultat[[#This Row],[Resultat]]=Stammdaten!$AX$22,RopeSkippingResultat[[#This Row],[Resultat]]=Stammdaten!$AX$19),Stammdaten!$AX$19,IF(ISNA(INDEX(INDIRECT(KW30),MATCH(RopeSkippingGerundet[[#This Row],[Rundung]],INDIRECT(KW30),KW$18))),IF(KW$18=-1,LARGE(INDIRECT(KW30),1),SMALL(INDIRECT(KW30),1)),INDEX(INDIRECT(KW30),MATCH(RopeSkippingGerundet[[#This Row],[Rundung]],INDIRECT(KW30),KW$18)))))</f>
        <v/>
      </c>
      <c r="KZ30" s="18" t="str">
        <f ca="1">IF(RopeSkippingSkalawert[[#This Row],[Skala-Wert]]="","",REPLACE(INDEX(StdDisziplinen[TabÜberschriftNote],KS$3),FIND("X",INDEX(StdDisziplinen[TabÜberschriftNote],KS$3),1),2,KV30))</f>
        <v/>
      </c>
      <c r="LA30" s="45" t="str">
        <f ca="1">IF(OR(KZ30="",RopeSkippingSkalawert[[#This Row],[Skala-Wert]]=Stammdaten!$AX$19),"",INDEX(INDIRECT(KZ30),MATCH(RopeSkippingSkalawert[[#This Row],[Skala-Wert]],INDIRECT(KW30),0)))</f>
        <v/>
      </c>
      <c r="LB30" s="31"/>
      <c r="LC30" s="599"/>
      <c r="LD30" s="190"/>
      <c r="LE30" s="586">
        <f>IF(LE$16,IF(LF$16=0.5,MROUND(AerobicResultat[[#This Row],[Resultat]],LF$16),ROUND(AerobicResultat[[#This Row],[Resultat]],LF$16)),ROUNDDOWN(AerobicResultat[[#This Row],[Resultat]],LF$16))</f>
        <v>0</v>
      </c>
      <c r="LF30" s="191" t="str">
        <f>IF(OR(Geschlecht[[#This Row],[Geschlecht (Skala)]]="",LC$16=""),"",MID(Geschlecht[[#This Row],[Geschlecht (Skala)]],1,1)&amp;MID(LC$16,1,1))</f>
        <v/>
      </c>
      <c r="LG30" s="190" t="str">
        <f>IF(OR(LF30="",AerobicResultat[[#This Row],[Resultat]]=""),"",REPLACE(INDEX(StdDisziplinen[TabÜberschriftResultat],LC$3),FIND("X",INDEX(StdDisziplinen[TabÜberschriftResultat],LC$3),1),2,LF30))</f>
        <v/>
      </c>
      <c r="LH30" s="31" t="str">
        <f ca="1">IF(LG30="","",IF(OR(AerobicResultat[[#This Row],[Resultat]]=Stammdaten!$AX$22,AerobicResultat[[#This Row],[Resultat]]=Stammdaten!$AX$19),Stammdaten!$AX$19,IF(ISNA(INDEX(INDIRECT(LG30),MATCH(AerobicGerundet[[#This Row],[Rundung]],INDIRECT(LG30),LG$18))),IF(LG$18=-1,LARGE(INDIRECT(LG30),1),SMALL(INDIRECT(LG30),1)),INDEX(INDIRECT(LG30),MATCH(AerobicGerundet[[#This Row],[Rundung]],INDIRECT(LG30),LG$18)))))</f>
        <v/>
      </c>
      <c r="LJ30" s="18" t="str">
        <f ca="1">IF(AerobicSkalawert[[#This Row],[Skala-Wert]]="","",REPLACE(INDEX(StdDisziplinen[TabÜberschriftNote],LC$3),FIND("X",INDEX(StdDisziplinen[TabÜberschriftNote],LC$3),1),2,LF30))</f>
        <v/>
      </c>
      <c r="LK30" s="45" t="str">
        <f ca="1">IF(OR(LJ30="",AerobicSkalawert[[#This Row],[Skala-Wert]]=Stammdaten!$AX$19),"",INDEX(INDIRECT(LJ30),MATCH(AerobicSkalawert[[#This Row],[Skala-Wert]],INDIRECT(LG30),0)))</f>
        <v/>
      </c>
      <c r="LL30" s="31"/>
      <c r="LM30" s="45" t="str">
        <f ca="1">IF(TanzenSkalawert[[#This Row],[Skala-Wert]]=$A$3,$A$2,IF(ISNUMBER(TanzenSkalawert[[#This Row],[Skala-Wert]]),TanzenNote[[#This Row],[Note]],"!"))</f>
        <v>!</v>
      </c>
      <c r="LN30" s="45" t="str">
        <f ca="1">IF(RopeSkippingSkalawert[[#This Row],[Skala-Wert]]=$A$3,$A$2,IF(ISNUMBER(RopeSkippingSkalawert[[#This Row],[Skala-Wert]]),RopeSkippingNote[[#This Row],[Note]],"!"))</f>
        <v>!</v>
      </c>
      <c r="LO30" s="45" t="str">
        <f ca="1">IF(AerobicSkalawert[[#This Row],[Skala-Wert]]=$A$3,$A$2,IF(ISNUMBER(AerobicSkalawert[[#This Row],[Skala-Wert]]),AerobicNote[[#This Row],[Note]],"!"))</f>
        <v>!</v>
      </c>
      <c r="LP30" s="36">
        <f t="shared" ca="1" si="132"/>
        <v>0</v>
      </c>
      <c r="LQ30" s="36">
        <f t="shared" ca="1" si="133"/>
        <v>0</v>
      </c>
      <c r="LR30" s="244" t="str">
        <f t="shared" ca="1" si="22"/>
        <v>nd</v>
      </c>
      <c r="LS30" s="244" t="str">
        <f t="shared" ca="1" si="23"/>
        <v>nd</v>
      </c>
      <c r="LT30" s="244" t="str">
        <f t="shared" ca="1" si="24"/>
        <v>nd</v>
      </c>
      <c r="LU30" s="242" t="str">
        <f t="shared" ca="1" si="25"/>
        <v/>
      </c>
      <c r="LV30" s="242" t="str">
        <f t="shared" ca="1" si="134"/>
        <v/>
      </c>
      <c r="LW30" s="242" t="str">
        <f t="shared" ca="1" si="135"/>
        <v/>
      </c>
      <c r="LX30" s="242" t="str">
        <f ca="1">IF(LW30="",Stammdaten!$AM$4,INDEX(INDIRECT($B$4),MATCH($LW30,INDIRECT($B$5),0)))</f>
        <v>Darstellen und Tanzen</v>
      </c>
      <c r="LY30" s="242" t="str">
        <f ca="1">IF(LW30="",Stammdaten!$AY$27,IF(ISNUMBER(LU30),LX30,IF(ISNUMBER(LV30),TRIM(Stammdaten!$AX$25),"")))</f>
        <v>nicht durchgeführt</v>
      </c>
      <c r="LZ30" s="242" t="str">
        <f t="shared" ca="1" si="136"/>
        <v>Darstellen und Tanzen</v>
      </c>
      <c r="MA30" s="242" t="str">
        <f t="shared" ca="1" si="137"/>
        <v/>
      </c>
      <c r="MB30" s="242" t="str">
        <f t="shared" ca="1" si="26"/>
        <v>Darstellen und TanzenResultat[@Resultat]</v>
      </c>
      <c r="MC30" s="274" t="str">
        <f t="shared" ca="1" si="138"/>
        <v/>
      </c>
      <c r="MD30" s="242" t="str">
        <f t="shared" ca="1" si="139"/>
        <v>Darstellen und TanzenSkalawert[@[Skala-Wert]]</v>
      </c>
      <c r="ME30" s="274" t="str">
        <f t="shared" ca="1" si="140"/>
        <v/>
      </c>
      <c r="MF30" s="47" t="str">
        <f t="shared" ca="1" si="27"/>
        <v/>
      </c>
      <c r="MG30" s="200" t="str">
        <f t="shared" ca="1" si="141"/>
        <v>StdDisziplinen[MaxTextSt]</v>
      </c>
      <c r="MH30" s="200" t="str">
        <f t="shared" ca="1" si="142"/>
        <v/>
      </c>
      <c r="MI30" s="45"/>
      <c r="MJ30" s="98" t="str">
        <f ca="1">IF(LP30&gt;0,MAX(LM30:LO30),IF(LQ30&gt;0,$A$3,INDEX(StdFehler[StdFehler],4)))</f>
        <v>Zu wenige Noten</v>
      </c>
      <c r="MK30" s="45"/>
      <c r="ML30" s="37"/>
      <c r="MM30" s="190"/>
      <c r="MN30" s="586">
        <f>IF(MN$16,IF(MO$16=0.5,MROUND(BasketballResultat[[#This Row],[Resultat]],MO$16),ROUND(BasketballResultat[[#This Row],[Resultat]],MO$16)),ROUNDDOWN(BasketballResultat[[#This Row],[Resultat]],MO$16))</f>
        <v>0</v>
      </c>
      <c r="MO30" s="191" t="str">
        <f>IF(OR(Geschlecht[[#This Row],[Geschlecht (Skala)]]="",ML$16=""),"",MID(Geschlecht[[#This Row],[Geschlecht (Skala)]],1,1)&amp;MID(ML$16,1,1))</f>
        <v/>
      </c>
      <c r="MP30" s="190" t="str">
        <f>IF(OR(MO30="",BasketballResultat[[#This Row],[Resultat]]=""),"",REPLACE(INDEX(StdDisziplinen[TabÜberschriftResultat],ML$3),FIND("X",INDEX(StdDisziplinen[TabÜberschriftResultat],ML$3),1),2,MO30))</f>
        <v/>
      </c>
      <c r="MQ30" s="31" t="str">
        <f ca="1">IF(MP30="","",IF(OR(BasketballResultat[[#This Row],[Resultat]]=Stammdaten!$AX$22,BasketballResultat[[#This Row],[Resultat]]=Stammdaten!$AX$19),Stammdaten!$AX$19,IF(ISNA(INDEX(INDIRECT(MP30),MATCH(BasketballGerundet[[#This Row],[Rundung]],INDIRECT(MP30),MP$18))),IF(MP$18=-1,LARGE(INDIRECT(MP30),1),SMALL(INDIRECT(MP30),1)),INDEX(INDIRECT(MP30),MATCH(BasketballGerundet[[#This Row],[Rundung]],INDIRECT(MP30),MP$18)))))</f>
        <v/>
      </c>
      <c r="MS30" s="18" t="str">
        <f ca="1">IF(BasketballSkalawert[[#This Row],[Skala-Wert]]="","",REPLACE(INDEX(StdDisziplinen[TabÜberschriftNote],ML$3),FIND("X",INDEX(StdDisziplinen[TabÜberschriftNote],ML$3),1),2,MO30))</f>
        <v/>
      </c>
      <c r="MT30" s="31" t="str">
        <f ca="1">IF(OR(MS30="",BasketballSkalawert[[#This Row],[Skala-Wert]]=Stammdaten!$AX$19),"",INDEX(INDIRECT(MS30),MATCH(BasketballSkalawert[[#This Row],[Skala-Wert]],INDIRECT(MP30),0)))</f>
        <v/>
      </c>
      <c r="MU30" s="31"/>
      <c r="MV30" s="37"/>
      <c r="MW30" s="190"/>
      <c r="MX30" s="586">
        <f>IF(MX$16,IF(MY$16=0.5,MROUND(FussballResultat[[#This Row],[Resultat]],MY$16),ROUND(FussballResultat[[#This Row],[Resultat]],MY$16)),ROUNDDOWN(FussballResultat[[#This Row],[Resultat]],MY$16))</f>
        <v>0</v>
      </c>
      <c r="MY30" s="191" t="str">
        <f>IF(OR(Geschlecht[[#This Row],[Geschlecht (Skala)]]="",MV$16=""),"",MID(Geschlecht[[#This Row],[Geschlecht (Skala)]],1,1)&amp;MID(MV$16,1,1))</f>
        <v/>
      </c>
      <c r="MZ30" s="190" t="str">
        <f>IF(OR(MY30="",FussballResultat[[#This Row],[Resultat]]=""),"",REPLACE(INDEX(StdDisziplinen[TabÜberschriftResultat],MV$3),FIND("X",INDEX(StdDisziplinen[TabÜberschriftResultat],MV$3),1),2,MY30))</f>
        <v/>
      </c>
      <c r="NA30" s="31" t="str">
        <f ca="1">IF(MZ30="","",IF(OR(FussballResultat[[#This Row],[Resultat]]=Stammdaten!$AX$22,FussballResultat[[#This Row],[Resultat]]=Stammdaten!$AX$19),Stammdaten!$AX$19,IF(ISNA(INDEX(INDIRECT(MZ30),MATCH(FussballGerundet[[#This Row],[Rundung]],INDIRECT(MZ30),MZ$18))),IF(MZ$18=-1,LARGE(INDIRECT(MZ30),1),SMALL(INDIRECT(MZ30),1)),INDEX(INDIRECT(MZ30),MATCH(FussballGerundet[[#This Row],[Rundung]],INDIRECT(MZ30),MZ$18)))))</f>
        <v/>
      </c>
      <c r="NC30" s="18" t="str">
        <f ca="1">IF(FussballSkalawert[[#This Row],[Skala-Wert]]="","",REPLACE(INDEX(StdDisziplinen[TabÜberschriftNote],MV$3),FIND("X",INDEX(StdDisziplinen[TabÜberschriftNote],MV$3),1),2,MY30))</f>
        <v/>
      </c>
      <c r="ND30" s="31" t="str">
        <f ca="1">IF(OR(NC30="",FussballSkalawert[[#This Row],[Skala-Wert]]=Stammdaten!$AX$19),"",INDEX(INDIRECT(NC30),MATCH(FussballSkalawert[[#This Row],[Skala-Wert]],INDIRECT(MZ30),0)))</f>
        <v/>
      </c>
      <c r="NE30" s="31"/>
      <c r="NF30" s="37"/>
      <c r="NG30" s="190"/>
      <c r="NH30" s="586">
        <f>IF(NH$16,IF(NI$16=0.5,MROUND(HandballResultat[[#This Row],[Resultat]],NI$16),ROUND(HandballResultat[[#This Row],[Resultat]],NI$16)),ROUNDDOWN(HandballResultat[[#This Row],[Resultat]],NI$16))</f>
        <v>0</v>
      </c>
      <c r="NI30" s="191" t="str">
        <f>IF(OR(Geschlecht[[#This Row],[Geschlecht (Skala)]]="",NF$16=""),"",MID(Geschlecht[[#This Row],[Geschlecht (Skala)]],1,1)&amp;MID(NF$16,1,1))</f>
        <v/>
      </c>
      <c r="NJ30" s="190" t="str">
        <f>IF(OR(NI30="",HandballResultat[[#This Row],[Resultat]]=""),"",REPLACE(INDEX(StdDisziplinen[TabÜberschriftResultat],NF$3),FIND("X",INDEX(StdDisziplinen[TabÜberschriftResultat],NF$3),1),2,NI30))</f>
        <v/>
      </c>
      <c r="NK30" s="31" t="str">
        <f ca="1">IF(NJ30="","",IF(OR(HandballResultat[[#This Row],[Resultat]]=Stammdaten!$AX$22,HandballResultat[[#This Row],[Resultat]]=Stammdaten!$AX$19),Stammdaten!$AX$19,IF(ISNA(INDEX(INDIRECT(NJ30),MATCH(HandballGerundet[[#This Row],[Rundung]],INDIRECT(NJ30),NJ$18))),IF(NJ$18=-1,LARGE(INDIRECT(NJ30),1),SMALL(INDIRECT(NJ30),1)),INDEX(INDIRECT(NJ30),MATCH(HandballGerundet[[#This Row],[Rundung]],INDIRECT(NJ30),NJ$18)))))</f>
        <v/>
      </c>
      <c r="NM30" s="18" t="str">
        <f ca="1">IF(HandballSkalawert[[#This Row],[Skala-Wert]]="","",REPLACE(INDEX(StdDisziplinen[TabÜberschriftNote],NF$3),FIND("X",INDEX(StdDisziplinen[TabÜberschriftNote],NF$3),1),2,NI30))</f>
        <v/>
      </c>
      <c r="NN30" s="31" t="str">
        <f ca="1">IF(OR(NM30="",HandballSkalawert[[#This Row],[Skala-Wert]]=Stammdaten!$AX$19),"",INDEX(INDIRECT(NM30),MATCH(HandballSkalawert[[#This Row],[Skala-Wert]],INDIRECT(NJ30),0)))</f>
        <v/>
      </c>
      <c r="NO30" s="31"/>
      <c r="NP30" s="37"/>
      <c r="NQ30" s="190"/>
      <c r="NR30" s="586">
        <f>IF(NR$16,IF(NS$16=0.5,MROUND(UnihockeyResultat[[#This Row],[Resultat]],NS$16),ROUND(UnihockeyResultat[[#This Row],[Resultat]],NS$16)),ROUNDDOWN(UnihockeyResultat[[#This Row],[Resultat]],NS$16))</f>
        <v>0</v>
      </c>
      <c r="NS30" s="191" t="str">
        <f>IF(OR(Geschlecht[[#This Row],[Geschlecht (Skala)]]="",NP$16=""),"",MID(Geschlecht[[#This Row],[Geschlecht (Skala)]],1,1)&amp;MID(NP$16,1,1))</f>
        <v/>
      </c>
      <c r="NT30" s="190" t="str">
        <f>IF(OR(NS30="",UnihockeyResultat[[#This Row],[Resultat]]=""),"",REPLACE(INDEX(StdDisziplinen[TabÜberschriftResultat],NP$3),FIND("X",INDEX(StdDisziplinen[TabÜberschriftResultat],NP$3),1),2,NS30))</f>
        <v/>
      </c>
      <c r="NU30" s="31" t="str">
        <f ca="1">IF(NT30="","",IF(OR(UnihockeyResultat[[#This Row],[Resultat]]=Stammdaten!$AX$22,UnihockeyResultat[[#This Row],[Resultat]]=Stammdaten!$AX$19),Stammdaten!$AX$19,IF(ISNA(INDEX(INDIRECT(NT30),MATCH(UnihockeyGerundet[[#This Row],[Rundung]],INDIRECT(NT30),NT$18))),IF(NT$18=-1,LARGE(INDIRECT(NT30),1),SMALL(INDIRECT(NT30),1)),INDEX(INDIRECT(NT30),MATCH(UnihockeyGerundet[[#This Row],[Rundung]],INDIRECT(NT30),NT$18)))))</f>
        <v/>
      </c>
      <c r="NW30" s="18" t="str">
        <f ca="1">IF(UnihockeySkalawert[[#This Row],[Skala-Wert]]="","",REPLACE(INDEX(StdDisziplinen[TabÜberschriftNote],NP$3),FIND("X",INDEX(StdDisziplinen[TabÜberschriftNote],NP$3),1),2,NS30))</f>
        <v/>
      </c>
      <c r="NX30" s="31" t="str">
        <f ca="1">IF(OR(NW30="",UnihockeySkalawert[[#This Row],[Skala-Wert]]=Stammdaten!$AX$19),"",INDEX(INDIRECT(NW30),MATCH(UnihockeySkalawert[[#This Row],[Skala-Wert]],INDIRECT(NT30),0)))</f>
        <v/>
      </c>
      <c r="NY30" s="31"/>
      <c r="NZ30" s="597"/>
      <c r="OA30" s="190"/>
      <c r="OB30" s="587">
        <f>IF(OB$16,IF(OC$16=0.5,MROUND(VolleyballResultat[[#This Row],[Resultat]],OC$16),ROUND(VolleyballResultat[[#This Row],[Resultat]],OC$16)),ROUNDDOWN(VolleyballResultat[[#This Row],[Resultat]],OC$16))</f>
        <v>0</v>
      </c>
      <c r="OC30" s="191" t="str">
        <f>IF(OR(Geschlecht[[#This Row],[Geschlecht (Skala)]]="",NZ$16=""),"",MID(Geschlecht[[#This Row],[Geschlecht (Skala)]],1,1)&amp;MID(NZ$16,1,1))</f>
        <v/>
      </c>
      <c r="OD30" s="190" t="str">
        <f>IF(OR(OC30="",VolleyballResultat[[#This Row],[Resultat]]=""),"",REPLACE(INDEX(StdDisziplinen[TabÜberschriftResultat],NZ$3),FIND("X",INDEX(StdDisziplinen[TabÜberschriftResultat],NZ$3),1),2,OC30))</f>
        <v/>
      </c>
      <c r="OE30" s="192" t="str">
        <f ca="1">IF(OD30="","",IF(OR(VolleyballResultat[[#This Row],[Resultat]]=Stammdaten!$AX$22,VolleyballResultat[[#This Row],[Resultat]]=Stammdaten!$AX$19),Stammdaten!$AX$19,IF(ISNA(INDEX(INDIRECT(OD30),MATCH(VolleyballGerundet[[#This Row],[Rundung]],INDIRECT(OD30),OD$18))),IF(OD$18=-1,LARGE(INDIRECT(OD30),1),SMALL(INDIRECT(OD30),1)),INDEX(INDIRECT(OD30),MATCH(VolleyballGerundet[[#This Row],[Rundung]],INDIRECT(OD30),OD$18)))))</f>
        <v/>
      </c>
      <c r="OG30" s="18" t="str">
        <f ca="1">IF(VolleyballSkalawert[[#This Row],[Skala-Wert]]="","",REPLACE(INDEX(StdDisziplinen[TabÜberschriftNote],NZ$3),FIND("X",INDEX(StdDisziplinen[TabÜberschriftNote],NZ$3),1),2,OC30))</f>
        <v/>
      </c>
      <c r="OH30" s="31" t="str">
        <f ca="1">IF(OR(OG30="",VolleyballSkalawert[[#This Row],[Skala-Wert]]=Stammdaten!$AX$19),"",INDEX(INDIRECT(OG30),MATCH(VolleyballSkalawert[[#This Row],[Skala-Wert]],INDIRECT(OD30),0)))</f>
        <v/>
      </c>
      <c r="OI30" s="45"/>
      <c r="OJ30" s="31">
        <f ca="1">IF(BasketballSkalawert[[#This Row],[Skala-Wert]]=$A$3,$A$2,IF(BasketballNote[[#This Row],[Note]]="",0,BasketballNote[[#This Row],[Note]]))</f>
        <v>0</v>
      </c>
      <c r="OK30" s="31">
        <f ca="1">IF(FussballSkalawert[[#This Row],[Skala-Wert]]=$A$3,$A$2,IF(FussballNote[[#This Row],[Note]]="",0,FussballNote[[#This Row],[Note]]))</f>
        <v>0</v>
      </c>
      <c r="OL30" s="31">
        <f ca="1">IF(HandballSkalawert[[#This Row],[Skala-Wert]]=$A$3,$A$2,IF(HandballNote[[#This Row],[Note]]="",0,HandballNote[[#This Row],[Note]]))</f>
        <v>0</v>
      </c>
      <c r="OM30" s="31">
        <f ca="1">IF(UnihockeySkalawert[[#This Row],[Skala-Wert]]=$A$3,$A$2,IF(UnihockeyNote[[#This Row],[Note]]="",0,UnihockeyNote[[#This Row],[Note]]))</f>
        <v>0</v>
      </c>
      <c r="ON30" s="31">
        <f ca="1">IF(VolleyballSkalawert[[#This Row],[Skala-Wert]]=$A$3,$A$2,IF(VolleyballNote[[#This Row],[Note]]="",0,VolleyballNote[[#This Row],[Note]]))</f>
        <v>0</v>
      </c>
      <c r="OO30" s="202">
        <f t="shared" ca="1" si="28"/>
        <v>0</v>
      </c>
      <c r="OP30" s="202">
        <f t="shared" ca="1" si="29"/>
        <v>0</v>
      </c>
      <c r="OQ30" s="202">
        <f t="shared" ca="1" si="143"/>
        <v>0</v>
      </c>
      <c r="OR30" s="96" t="str">
        <f t="shared" ca="1" si="144"/>
        <v>!</v>
      </c>
      <c r="OS30" s="96" t="str">
        <f t="shared" ca="1" si="30"/>
        <v>!</v>
      </c>
      <c r="OT30" s="96" t="str">
        <f t="shared" ca="1" si="31"/>
        <v>!</v>
      </c>
      <c r="OU30" s="96" t="str">
        <f ca="1">IF(NOT(OQ30),INDEX(StdFehler[StdFehler],4),IF(COUNTIF(OR30:OT30,$A$2)&gt;=$OQ$13,$A$3,ROUND(AVERAGE(OR30:OT30)/$RX$4,0)*$RX$4))</f>
        <v>Zu wenige Noten</v>
      </c>
      <c r="OV30" s="244" t="str">
        <f t="shared" ca="1" si="145"/>
        <v>nd</v>
      </c>
      <c r="OW30" s="244" t="str">
        <f t="shared" ca="1" si="146"/>
        <v>nd</v>
      </c>
      <c r="OX30" s="244" t="str">
        <f t="shared" ca="1" si="147"/>
        <v>nd</v>
      </c>
      <c r="OY30" s="244" t="str">
        <f t="shared" ca="1" si="148"/>
        <v>nd</v>
      </c>
      <c r="OZ30" s="244" t="str">
        <f t="shared" ca="1" si="149"/>
        <v>nd</v>
      </c>
      <c r="PA30" s="202" t="b">
        <f t="shared" ca="1" si="150"/>
        <v>0</v>
      </c>
      <c r="PB30" s="202">
        <f t="shared" ca="1" si="151"/>
        <v>1</v>
      </c>
      <c r="PC30" s="202">
        <f t="shared" ca="1" si="152"/>
        <v>0</v>
      </c>
      <c r="PD30" s="96" t="str">
        <f t="shared" ca="1" si="153"/>
        <v/>
      </c>
      <c r="PE30" s="96" t="str">
        <f t="shared" ca="1" si="154"/>
        <v/>
      </c>
      <c r="PF30" s="200">
        <f t="shared" ca="1" si="155"/>
        <v>0</v>
      </c>
      <c r="PG30" s="202" t="str">
        <f t="shared" ca="1" si="156"/>
        <v/>
      </c>
      <c r="PH30" s="200" t="str">
        <f t="shared" ca="1" si="157"/>
        <v/>
      </c>
      <c r="PI30" s="200" t="str">
        <f t="shared" ca="1" si="158"/>
        <v/>
      </c>
      <c r="PJ30" s="200" t="str">
        <f t="shared" ca="1" si="159"/>
        <v/>
      </c>
      <c r="PK30" s="242" t="str">
        <f t="shared" ca="1" si="160"/>
        <v/>
      </c>
      <c r="PL30" s="242" t="str">
        <f t="shared" ca="1" si="161"/>
        <v/>
      </c>
      <c r="PM30" s="242" t="str">
        <f t="shared" ca="1" si="162"/>
        <v/>
      </c>
      <c r="PN30" s="242" t="str">
        <f t="shared" ca="1" si="163"/>
        <v>Erste Spielsportart</v>
      </c>
      <c r="PO30" s="242" t="str">
        <f ca="1">IF(PN30=$PM$11,Stammdaten!$AY$27,IF(PR30=$A$2,TRIM(Stammdaten!$AX$25),""))</f>
        <v>nicht durchgeführt</v>
      </c>
      <c r="PP30" s="242" t="str">
        <f t="shared" ca="1" si="164"/>
        <v/>
      </c>
      <c r="PQ30" s="202" t="str">
        <f t="shared" ca="1" si="165"/>
        <v>Erste SpielsportartResultat[@Resultat]</v>
      </c>
      <c r="PR30" s="98" t="str">
        <f t="shared" ca="1" si="166"/>
        <v/>
      </c>
      <c r="PS30" s="202" t="str">
        <f t="shared" ca="1" si="167"/>
        <v/>
      </c>
      <c r="PT30" s="202" t="str">
        <f t="shared" ca="1" si="168"/>
        <v>Erste SpielsportartSkalawert[@[Skala-Wert]]</v>
      </c>
      <c r="PU30" s="98" t="str">
        <f t="shared" ca="1" si="169"/>
        <v/>
      </c>
      <c r="PV30" s="202" t="str">
        <f t="shared" ca="1" si="170"/>
        <v/>
      </c>
      <c r="PW30" s="202" t="str">
        <f t="shared" ca="1" si="171"/>
        <v/>
      </c>
      <c r="PX30" s="202" t="str">
        <f t="shared" ca="1" si="172"/>
        <v>StdDisziplinen[MaxTextSt]</v>
      </c>
      <c r="PY30" s="202" t="str">
        <f t="shared" ca="1" si="173"/>
        <v/>
      </c>
      <c r="PZ30" s="202" t="b">
        <f t="shared" ca="1" si="174"/>
        <v>0</v>
      </c>
      <c r="QA30" s="202" t="str">
        <f t="shared" ca="1" si="175"/>
        <v/>
      </c>
      <c r="QB30" s="202" t="str">
        <f t="shared" ca="1" si="32"/>
        <v/>
      </c>
      <c r="QC30" s="202" t="str">
        <f t="shared" ca="1" si="176"/>
        <v/>
      </c>
      <c r="QD30" s="202" t="str">
        <f t="shared" ca="1" si="177"/>
        <v/>
      </c>
      <c r="QE30" s="242" t="str">
        <f t="shared" ca="1" si="178"/>
        <v/>
      </c>
      <c r="QF30" s="242" t="str">
        <f t="shared" ca="1" si="179"/>
        <v/>
      </c>
      <c r="QG30" s="242" t="str">
        <f t="shared" ca="1" si="180"/>
        <v>Zweite Spielsportart</v>
      </c>
      <c r="QH30" s="242" t="str">
        <f ca="1">IF(QG30=$QF$11,Stammdaten!$AY$27,IF(QK30=$A$2,TRIM(Stammdaten!$AX$25),""))</f>
        <v>nicht durchgeführt</v>
      </c>
      <c r="QI30" s="242" t="str">
        <f t="shared" ca="1" si="181"/>
        <v/>
      </c>
      <c r="QJ30" s="202" t="str">
        <f t="shared" ca="1" si="182"/>
        <v>Zweite SpielsportartResultat[@Resultat]</v>
      </c>
      <c r="QK30" s="98" t="str">
        <f t="shared" ca="1" si="183"/>
        <v/>
      </c>
      <c r="QL30" s="202" t="str">
        <f t="shared" ca="1" si="184"/>
        <v/>
      </c>
      <c r="QM30" s="202" t="str">
        <f t="shared" ca="1" si="185"/>
        <v>Zweite SpielsportartSkalawert[@[Skala-Wert]]</v>
      </c>
      <c r="QN30" s="98" t="str">
        <f t="shared" ca="1" si="186"/>
        <v/>
      </c>
      <c r="QO30" s="202" t="str">
        <f t="shared" ca="1" si="187"/>
        <v/>
      </c>
      <c r="QP30" s="202" t="str">
        <f t="shared" ca="1" si="188"/>
        <v/>
      </c>
      <c r="QQ30" s="202" t="str">
        <f t="shared" ca="1" si="189"/>
        <v>StdDisziplinen[MaxTextSt]</v>
      </c>
      <c r="QR30" s="202" t="str">
        <f t="shared" ca="1" si="190"/>
        <v/>
      </c>
      <c r="QS30" s="202" t="b">
        <f t="shared" ca="1" si="191"/>
        <v>0</v>
      </c>
      <c r="QT30" s="242" t="str">
        <f t="shared" ca="1" si="33"/>
        <v>Dritte Spielsportart</v>
      </c>
      <c r="QU30" s="242" t="str">
        <f ca="1">IF(QT30=$QT$11,MID(Stammdaten!$AX$27,2,LEN(Stammdaten!$AX$27)),IF(QX30=$A$2,TRIM(Stammdaten!$AX$25),""))</f>
        <v>nicht durchgeführt</v>
      </c>
      <c r="QV30" s="242" t="str">
        <f t="shared" ca="1" si="34"/>
        <v/>
      </c>
      <c r="QW30" s="202" t="str">
        <f t="shared" ca="1" si="192"/>
        <v>Dritte SpielsportartResultat[@Resultat]</v>
      </c>
      <c r="QX30" s="98" t="str">
        <f t="shared" ca="1" si="193"/>
        <v/>
      </c>
      <c r="QY30" s="202" t="str">
        <f t="shared" ca="1" si="35"/>
        <v/>
      </c>
      <c r="QZ30" s="202" t="str">
        <f t="shared" ca="1" si="194"/>
        <v>Dritte SpielsportartSkalawert[@[Skala-Wert]]</v>
      </c>
      <c r="RA30" s="98" t="str">
        <f t="shared" ref="RA30:RA48" ca="1" si="224">IFERROR(INDEX(INDIRECT(QZ30),,),"")</f>
        <v/>
      </c>
      <c r="RB30" s="202" t="str">
        <f t="shared" ca="1" si="36"/>
        <v/>
      </c>
      <c r="RC30" s="202" t="str">
        <f t="shared" ca="1" si="196"/>
        <v/>
      </c>
      <c r="RD30" s="202" t="str">
        <f t="shared" ca="1" si="197"/>
        <v>StdDisziplinen[MaxTextSt]</v>
      </c>
      <c r="RE30" s="202" t="str">
        <f t="shared" ca="1" si="37"/>
        <v/>
      </c>
      <c r="RF30" s="244">
        <f t="shared" ca="1" si="38"/>
        <v>99</v>
      </c>
      <c r="RG30" s="244">
        <f t="shared" ca="1" si="39"/>
        <v>99</v>
      </c>
      <c r="RH30" s="244">
        <f t="shared" ca="1" si="40"/>
        <v>99</v>
      </c>
      <c r="RI30" s="244">
        <f t="shared" ca="1" si="41"/>
        <v>99</v>
      </c>
      <c r="RJ30" s="244">
        <f t="shared" ca="1" si="42"/>
        <v>99</v>
      </c>
      <c r="RK30" s="244">
        <f t="shared" ca="1" si="198"/>
        <v>99</v>
      </c>
      <c r="RL30" s="244">
        <f t="shared" ca="1" si="199"/>
        <v>99</v>
      </c>
      <c r="RM30" s="244">
        <f t="shared" ca="1" si="200"/>
        <v>99</v>
      </c>
      <c r="RN30" s="244">
        <f t="shared" ca="1" si="201"/>
        <v>99</v>
      </c>
      <c r="RO30" s="244">
        <f t="shared" ca="1" si="202"/>
        <v>99</v>
      </c>
      <c r="RP30" s="202" t="str">
        <f t="shared" ca="1" si="43"/>
        <v>Zu wenige Noten</v>
      </c>
      <c r="RQ30" s="202" t="str">
        <f t="shared" ca="1" si="203"/>
        <v>Zu wenige Noten</v>
      </c>
      <c r="RR30" s="202" t="str">
        <f t="shared" ca="1" si="203"/>
        <v>Zu wenige Noten</v>
      </c>
      <c r="RS30" s="202" t="str">
        <f t="shared" ca="1" si="204"/>
        <v>Zu wenige Noten</v>
      </c>
      <c r="RT30" s="202" t="str">
        <f t="shared" ca="1" si="204"/>
        <v>Zu wenige Noten</v>
      </c>
      <c r="RU30" s="202" t="str">
        <f t="shared" ca="1" si="205"/>
        <v>Zu wenige Noten</v>
      </c>
      <c r="RV30" s="202" t="str">
        <f t="shared" ca="1" si="206"/>
        <v>Zu wenige Noten</v>
      </c>
      <c r="RW30" s="31"/>
      <c r="RX30" s="56" t="str">
        <f t="shared" ca="1" si="44"/>
        <v>Zu wenige Noten</v>
      </c>
      <c r="RY30" s="31"/>
      <c r="RZ30" s="31" t="str">
        <f t="shared" ca="1" si="45"/>
        <v>Zu wenige Noten</v>
      </c>
      <c r="SA30" s="31" t="str">
        <f t="shared" ca="1" si="46"/>
        <v>Zu wenige Noten</v>
      </c>
      <c r="SB30" s="45" t="str">
        <f t="shared" ca="1" si="47"/>
        <v>Zu wenige Noten</v>
      </c>
      <c r="SC30" s="31" t="str">
        <f t="shared" ca="1" si="207"/>
        <v>Zu wenige Noten</v>
      </c>
      <c r="SD30" s="31" t="str">
        <f t="shared" ca="1" si="208"/>
        <v>Zu wenige Noten</v>
      </c>
      <c r="SE30" s="31" t="str">
        <f t="shared" ca="1" si="48"/>
        <v>Zu wenige Noten</v>
      </c>
      <c r="SF30" s="31" t="str">
        <f t="shared" ca="1" si="209"/>
        <v>Zu wenige Noten</v>
      </c>
      <c r="SG30" s="31" t="str">
        <f t="shared" ca="1" si="48"/>
        <v>Zu wenige Noten</v>
      </c>
      <c r="SH30" s="36">
        <f t="shared" ca="1" si="210"/>
        <v>0</v>
      </c>
      <c r="SI30" s="36">
        <f t="shared" ca="1" si="211"/>
        <v>0</v>
      </c>
      <c r="SJ30" s="36">
        <f t="shared" ca="1" si="212"/>
        <v>0</v>
      </c>
      <c r="SK30" s="31">
        <f t="shared" ca="1" si="213"/>
        <v>99</v>
      </c>
      <c r="SL30" s="31">
        <f t="shared" ca="1" si="214"/>
        <v>99</v>
      </c>
      <c r="SM30" s="36" t="str">
        <f t="shared" ca="1" si="215"/>
        <v>99.0</v>
      </c>
      <c r="SN30" s="31">
        <f t="shared" ca="1" si="216"/>
        <v>99</v>
      </c>
      <c r="SO30" s="36" t="str">
        <f ca="1">IF(NOT(SJ30),INDEX(StdFehler[StdFehler],4),IF(SI30=$SJ$13,$A$3,CONCATENATE(TEXT(SK30,"#.0"),", ",TEXT(SL30,"#.0"),", ",SM30,", ",TEXT(SN30,"#.0"))))</f>
        <v>Zu wenige Noten</v>
      </c>
      <c r="SP30" s="36" t="str">
        <f t="shared" ca="1" si="49"/>
        <v>Zu wenige Noten</v>
      </c>
      <c r="SQ30" s="36" t="str">
        <f t="shared" ca="1" si="49"/>
        <v>Zu wenige Noten</v>
      </c>
      <c r="SR30" s="36" t="str">
        <f t="shared" ca="1" si="49"/>
        <v>Zu wenige Noten</v>
      </c>
      <c r="SS30" s="36" t="str">
        <f t="shared" ca="1" si="49"/>
        <v>Zu wenige Noten</v>
      </c>
      <c r="ST30" s="36" t="str">
        <f t="shared" ca="1" si="217"/>
        <v>Zu wenige Noten</v>
      </c>
      <c r="SU30" s="36"/>
      <c r="SV30" s="214" t="str">
        <f t="shared" si="218"/>
        <v>D</v>
      </c>
      <c r="SW30" s="36"/>
      <c r="SX30" s="214" t="str">
        <f t="shared" si="219"/>
        <v>D</v>
      </c>
      <c r="SY30" s="36"/>
      <c r="SZ30" s="214" t="str">
        <f t="shared" si="220"/>
        <v>D</v>
      </c>
      <c r="TA30" s="36"/>
      <c r="TB30" s="214" t="str">
        <f t="shared" si="221"/>
        <v>D</v>
      </c>
      <c r="TC30" s="31"/>
      <c r="TD30" s="36" t="str">
        <f t="shared" ca="1" si="222"/>
        <v>Zu wenige Noten</v>
      </c>
      <c r="TE30" s="31"/>
      <c r="TF30" s="193" t="str">
        <f ca="1">IF(NOT(SJ30),INDEX(StdFehler[StdFehler],4),IF(SI30=$TF$4,$A$3,ROUND(AVERAGE(RZ30:SC30)/$TF$5,0)*$TF$5))</f>
        <v>Zu wenige Noten</v>
      </c>
      <c r="TH30" s="595" t="str">
        <f>IF(OR($TH$18=Stammdaten!$AX$20,$TH$18=""),Stammdaten!$AX$20,$TH$18)</f>
        <v>Disziplin</v>
      </c>
      <c r="TI30" s="33"/>
      <c r="TJ30" s="33" t="str">
        <f>IF(OR(Geschlecht[[#This Row],[Geschlecht (Skala)]]="",TH30="",TH30=Stammdaten!$AX$20),"",REPLACE(INDEX(StdDisziplinen[TabÜberschriftResultat],TH$3),FIND("XX",INDEX(StdDisziplinen[TabÜberschriftResultat],TH$3),1),2,Geschlecht[[#This Row],[Geschlecht (Skala)]]))</f>
        <v/>
      </c>
      <c r="TK30" s="596"/>
      <c r="TM30" s="37"/>
      <c r="TN30" s="40"/>
      <c r="TO30" s="587">
        <f>IF(TO$16,IF(TP$16=0.5,MROUND(SchwimmenResultat[[#This Row],[Resultat]],TP$16),ROUND(SchwimmenResultat[[#This Row],[Resultat]],TP$16)),ROUNDDOWN(SchwimmenResultat[[#This Row],[Resultat]],TP$16))</f>
        <v>0</v>
      </c>
      <c r="TP30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0" s="153" t="str">
        <f ca="1">IF(TP30="","",IF(OR(SchwimmenResultat[[#This Row],[Resultat]]=Stammdaten!$AX$22,SchwimmenResultat[[#This Row],[Resultat]]=Stammdaten!$AX$19),Stammdaten!$AX$19,IF(ISNA(INDEX(INDIRECT(TP30),MATCH(SchwimmenGerundet[[#This Row],[Rundung]],INDIRECT(TP30),TP$18))),IF(TP$18=-1,LARGE(INDIRECT(TP30),1),SMALL(INDIRECT(TP30),1)),INDEX(INDIRECT(TP30),MATCH(SchwimmenGerundet[[#This Row],[Rundung]],INDIRECT(TP30),TP$18)))))</f>
        <v/>
      </c>
      <c r="TR30" s="33" t="str">
        <f>IF(OR(TP30="",SchwimmenResultat[[#This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0" s="33"/>
      <c r="TT30" s="36" t="str">
        <f ca="1">IF(OR(TR30="",SchwimmenSkalawert[[#This Row],[Skala-Wert]]=Stammdaten!$AX$19),"",INDEX(INDIRECT(TR30),MATCH(SchwimmenSkalawert[[#This Row],[Skala-Wert]],INDIRECT(TP30),0)))</f>
        <v/>
      </c>
      <c r="TU30" s="36"/>
      <c r="TV30" s="190" t="str">
        <f>IF(ZwölfMinLaufHalleResultat[[#This Row],[Resultat]]=0,"",ZwölfMinLaufHalleResultat[[#This Row],[Resultat]])</f>
        <v/>
      </c>
      <c r="TW30" s="190"/>
      <c r="TX30" s="31" t="str">
        <f ca="1">ZwölfMinLaufHalleSkalawert[[#This Row],[Skala-Wert]]</f>
        <v/>
      </c>
      <c r="TZ30" s="31" t="str">
        <f ca="1">ZwölfMinLaufHalleNote[[#This Row],[Note]]</f>
        <v/>
      </c>
      <c r="UA30" s="31"/>
      <c r="UB30" s="190" t="str">
        <f>IF(ZwölfMinLaufimFreienResultat[[#This Row],[Resultat]]=0,"",ZwölfMinLaufimFreienResultat[[#This Row],[Resultat]])</f>
        <v/>
      </c>
      <c r="UC30" s="190"/>
      <c r="UD30" s="192" t="str">
        <f ca="1">ZwölfMinLaufimFreienSkalawert[[#This Row],[Skala-Wert]]</f>
        <v/>
      </c>
      <c r="UF30" s="31" t="str">
        <f ca="1">ZwölfMinLaufimFreienNote[[#This Row],[Note]]</f>
        <v/>
      </c>
      <c r="UG30" s="31"/>
      <c r="UH30" s="597"/>
      <c r="UI30" s="190"/>
      <c r="UJ30" s="587">
        <f>IF(UJ$16,IF(UK$16=0.5,MROUND(BeweglichkeitResultat[[#This Row],[Resultat]],UK$16),ROUND(BeweglichkeitResultat[[#This Row],[Resultat]],UK$16)),ROUNDDOWN(BeweglichkeitResultat[[#This Row],[Resultat]],UK$16))</f>
        <v>0</v>
      </c>
      <c r="UK30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0" s="192" t="str">
        <f ca="1">IF(UK30="","",IF(OR(BeweglichkeitResultat[[#This Row],[Resultat]]=Stammdaten!$AX$22,BeweglichkeitResultat[[#This Row],[Resultat]]=Stammdaten!$AX$19),Stammdaten!$AX$19,IF(ISNA(INDEX(INDIRECT(UK30),MATCH(BeweglichkeitGerundet[[#This Row],[Rundung]],INDIRECT(UK30),UK$18))),IF(UK$18=-1,LARGE(INDIRECT(UK30),1),SMALL(INDIRECT(UK30),1)),INDEX(INDIRECT(UK30),MATCH(BeweglichkeitGerundet[[#This Row],[Rundung]],INDIRECT(UK30),UK$18)))))</f>
        <v/>
      </c>
      <c r="UN30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0" s="36" t="str">
        <f ca="1">IF(OR(UK30="",BeweglichkeitSkalawert[[#This Row],[Skala-Wert]]=Stammdaten!$AX$19),"",INDEX(INDIRECT(UN30),MATCH(BeweglichkeitSkalawert[[#This Row],[Skala-Wert]],INDIRECT(UK30),0)))</f>
        <v/>
      </c>
      <c r="UP30" s="31"/>
      <c r="UQ30" s="597"/>
      <c r="UR30" s="190"/>
      <c r="US30" s="587">
        <f>IF(US$16,IF(UT$16=0.5,MROUND(RumpfkraftResultat[[#This Row],[Resultat]],UT$16),ROUND(RumpfkraftResultat[[#This Row],[Resultat]],UT$16)),ROUNDDOWN(RumpfkraftResultat[[#This Row],[Resultat]],UT$16))</f>
        <v>0</v>
      </c>
      <c r="UT30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0" s="192" t="str">
        <f ca="1">IF(UT30="","",IF(OR(RumpfkraftResultat[[#This Row],[Resultat]]=Stammdaten!$AX$22,RumpfkraftResultat[[#This Row],[Resultat]]=Stammdaten!$AX$19),Stammdaten!$AX$19,IF(ISNA(INDEX(INDIRECT(UT30),MATCH(RumpfkraftGerundet[[#This Row],[Rundung]],INDIRECT(UT30),UT$18))),IF(UT$18=-1,LARGE(INDIRECT(UT30),1),SMALL(INDIRECT(UT30),1)),INDEX(INDIRECT(UT30),MATCH(RumpfkraftGerundet[[#This Row],[Rundung]],INDIRECT(UT30),UT$18)))))</f>
        <v/>
      </c>
      <c r="UW30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0" s="36" t="str">
        <f ca="1">IF(OR(UT30="",RumpfkraftSkalawert[[#This Row],[Skala-Wert]]=Stammdaten!$AX$19),"",INDEX(INDIRECT(UW30),MATCH(RumpfkraftSkalawert[[#This Row],[Skala-Wert]],INDIRECT(UT30),0)))</f>
        <v/>
      </c>
      <c r="UY30" s="31"/>
      <c r="UZ30" s="190" t="str">
        <f>IF(SechzigmLaufResultat[[#This Row],[Resultat]]=0,"",SechzigmLaufResultat[[#This Row],[Resultat]])</f>
        <v/>
      </c>
      <c r="VA30" s="190"/>
      <c r="VB30" s="45" t="str">
        <f ca="1">SechzigmLaufSkalawert[[#This Row],[Skala-Wert]]</f>
        <v/>
      </c>
      <c r="VD30" s="31" t="str">
        <f ca="1">SechzigmLaufNote[[#This Row],[Note]]</f>
        <v/>
      </c>
      <c r="VE30" s="31"/>
      <c r="VF30" s="190" t="str">
        <f>IF(AchtzigmLaufResultat[[#This Row],[Resultat]]=0,"",AchtzigmLaufResultat[[#This Row],[Resultat]])</f>
        <v/>
      </c>
      <c r="VG30" s="190"/>
      <c r="VH30" s="45" t="str">
        <f ca="1">AchtzigmLaufSkalawert[[#This Row],[Skala-Wert]]</f>
        <v/>
      </c>
      <c r="VJ30" s="31" t="str">
        <f ca="1">AchtzigmLaufNote[[#This Row],[Note]]</f>
        <v/>
      </c>
      <c r="VK30" s="31"/>
      <c r="VL30" s="37"/>
      <c r="VM30" s="190"/>
      <c r="VN30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0" s="191" t="str">
        <f>IF(OR(Geschlecht[[#This Row],[Geschlecht (Skala)]]="",VL$16=""),"",MID(Geschlecht[[#This Row],[Geschlecht (Skala)]],1,1)&amp;MID(VL$16,1,1))</f>
        <v/>
      </c>
      <c r="VP30" s="190" t="str">
        <f>IF(OR(VO30="",KonditionsparcoursResultat[[#This Row],[Resultat]]=""),"",REPLACE(INDEX(StdDisziplinen[TabÜberschriftResultat],VL$3),FIND("X",INDEX(StdDisziplinen[TabÜberschriftResultat],VL$3),1),2,VO30))</f>
        <v/>
      </c>
      <c r="VQ30" s="192" t="str">
        <f ca="1">IF(VP30="","",IF(OR(KonditionsparcoursResultat[[#This Row],[Resultat]]=Stammdaten!$AX$22,KonditionsparcoursResultat[[#This Row],[Resultat]]=Stammdaten!$AX$19),Stammdaten!$AX$19,IF(ISNA(INDEX(INDIRECT(VP30),MATCH(KonditionsparcoursGerundet[[#This Row],[Rundung]],INDIRECT(VP30),VP$18))),IF(VP$18=-1,LARGE(INDIRECT(VP30),1),SMALL(INDIRECT(VP30),1)),INDEX(INDIRECT(VP30),MATCH(KonditionsparcoursGerundet[[#This Row],[Rundung]],INDIRECT(VP30),VP$18)))))</f>
        <v/>
      </c>
      <c r="VS30" s="18" t="str">
        <f ca="1">IF(KonditionsparcoursSkalawert[[#This Row],[Skala-Wert]]="","",REPLACE(INDEX(StdDisziplinen[TabÜberschriftNote],VL$3),FIND("X",INDEX(StdDisziplinen[TabÜberschriftNote],VL$3),1),2,VO30))</f>
        <v/>
      </c>
      <c r="VT30" s="31" t="str">
        <f ca="1">IF(OR(VS30="",KonditionsparcoursSkalawert[[#This Row],[Skala-Wert]]=Stammdaten!$AX$19),"",INDEX(INDIRECT(VS30),MATCH(KonditionsparcoursSkalawert[[#This Row],[Skala-Wert]],INDIRECT(VP30),0)))</f>
        <v/>
      </c>
      <c r="VU30" s="22"/>
    </row>
    <row r="31" spans="1:593" x14ac:dyDescent="0.3">
      <c r="A31" s="30">
        <v>13</v>
      </c>
      <c r="B31" s="589"/>
      <c r="C31" s="589"/>
      <c r="E31" s="591"/>
      <c r="G31" s="37"/>
      <c r="H31" s="190"/>
      <c r="I31" s="154">
        <f>IF(I$16,IF(J$16=0.5,MROUND(SechzigmLaufResultat[[#This Row],[Resultat]],J$16),ROUND(SechzigmLaufResultat[[#This Row],[Resultat]],J$16)),ROUNDDOWN(SechzigmLaufResultat[[#This Row],[Resultat]],J$16))</f>
        <v>0</v>
      </c>
      <c r="J31" s="191" t="str">
        <f>IF(OR(Geschlecht[[#This Row],[Geschlecht (Skala)]]="",G$16=""),"",MID(Geschlecht[[#This Row],[Geschlecht (Skala)]],1,1)&amp;MID(G$16,1,1))</f>
        <v/>
      </c>
      <c r="K31" s="190" t="str">
        <f>IF(OR(J31="",SechzigmLaufResultat[[#This Row],[Resultat]]=""),"",REPLACE(INDEX(StdDisziplinen[TabÜberschriftResultat],G$3),FIND("X",INDEX(StdDisziplinen[TabÜberschriftResultat],G$3),1),2,J31))</f>
        <v/>
      </c>
      <c r="L31" s="45" t="str">
        <f ca="1">IF(K31="","",IF(OR(SechzigmLaufResultat[[#This Row],[Resultat]]=Stammdaten!$AX$22,SechzigmLaufResultat[[#This Row],[Resultat]]=Stammdaten!$AX$19),Stammdaten!$AX$19,IF(ISNA(INDEX(INDIRECT(K31),MATCH(SechzigmLaufGerundet[[#This Row],[Rundung]],INDIRECT(K31),K$18))),IF(K$18=-1,LARGE(INDIRECT(K31),1),SMALL(INDIRECT(K31),1)),INDEX(INDIRECT(K31),MATCH(SechzigmLaufGerundet[[#This Row],[Rundung]],INDIRECT(K31),K$18)))))</f>
        <v/>
      </c>
      <c r="N31" s="18" t="str">
        <f ca="1">IF(SechzigmLaufSkalawert[[#This Row],[Skala-Wert]]="","",REPLACE(INDEX(StdDisziplinen[TabÜberschriftNote],G$3),FIND("X",INDEX(StdDisziplinen[TabÜberschriftNote],G$3),1),2,J31))</f>
        <v/>
      </c>
      <c r="O31" s="31" t="str">
        <f ca="1">IF(OR(N31="",SechzigmLaufSkalawert[[#This Row],[Skala-Wert]]=Stammdaten!$AX$19),"",INDEX(INDIRECT(N31),MATCH(SechzigmLaufSkalawert[[#This Row],[Skala-Wert]],INDIRECT(K31),0)))</f>
        <v/>
      </c>
      <c r="P31" s="31"/>
      <c r="Q31" s="37"/>
      <c r="R31" s="190"/>
      <c r="S31" s="154">
        <f>IF(S$16,IF(T$16=0.5,MROUND(AchtzigmLaufResultat[[#This Row],[Resultat]],T$16),ROUND(AchtzigmLaufResultat[[#This Row],[Resultat]],T$16)),ROUNDDOWN(AchtzigmLaufResultat[[#This Row],[Resultat]],T$16))</f>
        <v>0</v>
      </c>
      <c r="T31" s="191" t="str">
        <f>IF(OR(Geschlecht[[#This Row],[Geschlecht (Skala)]]="",Q$16=""),"",MID(Geschlecht[[#This Row],[Geschlecht (Skala)]],1,1)&amp;MID(Q$16,1,1))</f>
        <v/>
      </c>
      <c r="U31" s="190" t="str">
        <f>IF(OR(T31="",AchtzigmLaufResultat[[#This Row],[Resultat]]=""),"",REPLACE(INDEX(StdDisziplinen[TabÜberschriftResultat],Q$3),FIND("X",INDEX(StdDisziplinen[TabÜberschriftResultat],Q$3),1),2,T31))</f>
        <v/>
      </c>
      <c r="V31" s="45" t="str">
        <f ca="1">IF(U31="","",IF(OR(AchtzigmLaufResultat[[#This Row],[Resultat]]=Stammdaten!$AX$22,AchtzigmLaufResultat[[#This Row],[Resultat]]=Stammdaten!$AX$19),Stammdaten!$AX$19,IF(ISNA(INDEX(INDIRECT(U31),MATCH(AchtzigmLaufGerundet[[#This Row],[Rundung]],INDIRECT(U31),U$18))),IF(U$18=-1,LARGE(INDIRECT(U31),1),SMALL(INDIRECT(U31),1)),INDEX(INDIRECT(U31),MATCH(AchtzigmLaufGerundet[[#This Row],[Rundung]],INDIRECT(U31),U$18)))))</f>
        <v/>
      </c>
      <c r="X31" s="18" t="str">
        <f ca="1">IF(AchtzigmLaufSkalawert[[#This Row],[Skala-Wert]]="","",REPLACE(INDEX(StdDisziplinen[TabÜberschriftNote],Q$3),FIND("X",INDEX(StdDisziplinen[TabÜberschriftNote],Q$3),1),2,T31))</f>
        <v/>
      </c>
      <c r="Y31" s="31" t="str">
        <f ca="1">IF(OR(X31="",AchtzigmLaufSkalawert[[#This Row],[Skala-Wert]]=Stammdaten!$AX$19),"",INDEX(INDIRECT(X31),MATCH(AchtzigmLaufSkalawert[[#This Row],[Skala-Wert]],INDIRECT(U31),0)))</f>
        <v/>
      </c>
      <c r="Z31" s="31"/>
      <c r="AA31" s="37"/>
      <c r="AB31" s="190"/>
      <c r="AC31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1" s="191" t="str">
        <f>IF(OR(Geschlecht[[#This Row],[Geschlecht (Skala)]]="",AA$16=""),"",MID(Geschlecht[[#This Row],[Geschlecht (Skala)]],1,1)&amp;MID(AA$16,1,1))</f>
        <v/>
      </c>
      <c r="AE31" s="190" t="str">
        <f>IF(OR(AD31="",ZwölfMinLaufHalleResultat[[#This Row],[Resultat]]=""),"",REPLACE(INDEX(StdDisziplinen[TabÜberschriftResultat],AA$3),FIND("X",INDEX(StdDisziplinen[TabÜberschriftResultat],AA$3),1),2,AD31))</f>
        <v/>
      </c>
      <c r="AF31" s="31" t="str">
        <f ca="1">IF(AE31="","",IF(OR(ZwölfMinLaufHalleResultat[[#This Row],[Resultat]]=Stammdaten!$AX$22,ZwölfMinLaufHalleResultat[[#This Row],[Resultat]]=Stammdaten!$AX$19),Stammdaten!$AX$19,IF(ISNA(INDEX(INDIRECT(AE31),MATCH(ZwölfMinLaufHalleGerundet[[#This Row],[Rundung]],INDIRECT(AE31),AE$18))),IF(AE$18=-1,LARGE(INDIRECT(AE31),1),SMALL(INDIRECT(AE31),1)),INDEX(INDIRECT(AE31),MATCH(ZwölfMinLaufHalleGerundet[[#This Row],[Rundung]],INDIRECT(AE31),AE$18)))))</f>
        <v/>
      </c>
      <c r="AH31" s="18" t="str">
        <f ca="1">IF(ZwölfMinLaufHalleSkalawert[[#This Row],[Skala-Wert]]="","",REPLACE(INDEX(StdDisziplinen[TabÜberschriftNote],AA$3),FIND("X",INDEX(StdDisziplinen[TabÜberschriftNote],AA$3),1),2,AD31))</f>
        <v/>
      </c>
      <c r="AI31" s="31" t="str">
        <f ca="1">IF(OR(AH31="",ZwölfMinLaufHalleSkalawert[[#This Row],[Skala-Wert]]=Stammdaten!$AX$19),"",INDEX(INDIRECT(AH31),MATCH(ZwölfMinLaufHalleSkalawert[[#This Row],[Skala-Wert]],INDIRECT(AE31),0)))</f>
        <v/>
      </c>
      <c r="AJ31" s="31"/>
      <c r="AK31" s="597"/>
      <c r="AL31" s="190"/>
      <c r="AM31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1" s="191" t="str">
        <f>IF(OR(Geschlecht[[#This Row],[Geschlecht (Skala)]]="",AK$16=""),"",MID(Geschlecht[[#This Row],[Geschlecht (Skala)]],1,1)&amp;MID(AK$16,1,1))</f>
        <v/>
      </c>
      <c r="AO31" s="190" t="str">
        <f>IF(OR(AN31="",ZwölfMinLaufimFreienResultat[[#This Row],[Resultat]]=""),"",REPLACE(INDEX(StdDisziplinen[TabÜberschriftResultat],AK$3),FIND("X",INDEX(StdDisziplinen[TabÜberschriftResultat],AK$3),1),2,AN31))</f>
        <v/>
      </c>
      <c r="AP31" s="192" t="str">
        <f ca="1">IF(AO31="","",IF(OR(ZwölfMinLaufimFreienResultat[[#This Row],[Resultat]]=Stammdaten!$AX$22,ZwölfMinLaufimFreienResultat[[#This Row],[Resultat]]=Stammdaten!$AX$19),Stammdaten!$AX$19,IF(ISNA(INDEX(INDIRECT(AO31),MATCH(ZwölfMinLaufimFreienGerundet[[#This Row],[Rundung]],INDIRECT(AO31),AO$18))),IF(AO$18=-1,LARGE(INDIRECT(AO31),1),SMALL(INDIRECT(AO31),1)),INDEX(INDIRECT(AO31),MATCH(ZwölfMinLaufimFreienGerundet[[#This Row],[Rundung]],INDIRECT(AO31),AO$18)))))</f>
        <v/>
      </c>
      <c r="AR31" s="18" t="str">
        <f ca="1">IF(ZwölfMinLaufimFreienSkalawert[[#This Row],[Skala-Wert]]="","",REPLACE(INDEX(StdDisziplinen[TabÜberschriftNote],AK$3),FIND("X",INDEX(StdDisziplinen[TabÜberschriftNote],AK$3),1),2,AN31))</f>
        <v/>
      </c>
      <c r="AS31" s="31" t="str">
        <f ca="1">IF(OR(AR31="",ZwölfMinLaufimFreienSkalawert[[#This Row],[Skala-Wert]]=Stammdaten!$AX$19),"",INDEX(INDIRECT(AR31),MATCH(ZwölfMinLaufimFreienSkalawert[[#This Row],[Skala-Wert]],INDIRECT(AO31),0)))</f>
        <v/>
      </c>
      <c r="AT31" s="31"/>
      <c r="AU31" s="597"/>
      <c r="AV31" s="190"/>
      <c r="AW31" s="587">
        <f>IF(AW$16,IF(AX$16=0.5,MROUND(HochsprungResultat[[#This Row],[Resultat]],AX$16),ROUND(HochsprungResultat[[#This Row],[Resultat]],AX$16)),ROUNDDOWN(HochsprungResultat[[#This Row],[Resultat]],AX$16))</f>
        <v>0</v>
      </c>
      <c r="AX31" s="191" t="str">
        <f>IF(OR(Geschlecht[[#This Row],[Geschlecht (Skala)]]="",AU$16=""),"",MID(Geschlecht[[#This Row],[Geschlecht (Skala)]],1,1)&amp;MID(AU$16,1,1))</f>
        <v/>
      </c>
      <c r="AY31" s="190" t="str">
        <f>IF(OR(AX31="",HochsprungResultat[[#This Row],[Resultat]]=""),"",REPLACE(INDEX(StdDisziplinen[TabÜberschriftResultat],AU$3),FIND("X",INDEX(StdDisziplinen[TabÜberschriftResultat],AU$3),1),2,AX31))</f>
        <v/>
      </c>
      <c r="AZ31" s="192" t="str">
        <f ca="1">IF(AY31="","",IF(OR(HochsprungResultat[[#This Row],[Resultat]]=Stammdaten!$AX$22,HochsprungResultat[[#This Row],[Resultat]]=Stammdaten!$AX$19),Stammdaten!$AX$19,IF(ISNA(INDEX(INDIRECT(AY31),MATCH(HochsprungGerundet[[#This Row],[Rundung]],INDIRECT(AY31),AY$18))),IF(AY$18=-1,LARGE(INDIRECT(AY31),1),SMALL(INDIRECT(AY31),1)),INDEX(INDIRECT(AY31),MATCH(HochsprungGerundet[[#This Row],[Rundung]],INDIRECT(AY31),AY$18)))))</f>
        <v/>
      </c>
      <c r="BB31" s="18" t="str">
        <f ca="1">IF(HochsprungSkalawert[[#This Row],[Skala-Wert]]="","",REPLACE(INDEX(StdDisziplinen[TabÜberschriftNote],AU$3),FIND("X",INDEX(StdDisziplinen[TabÜberschriftNote],AU$3),1),2,AX31))</f>
        <v/>
      </c>
      <c r="BC31" s="31" t="str">
        <f ca="1">IF(OR(BB31="",HochsprungSkalawert[[#This Row],[Skala-Wert]]=Stammdaten!$AX$19),"",INDEX(INDIRECT(BB31),MATCH(HochsprungSkalawert[[#This Row],[Skala-Wert]],INDIRECT(AY31),0)))</f>
        <v/>
      </c>
      <c r="BD31" s="31"/>
      <c r="BE31" s="597"/>
      <c r="BF31" s="190"/>
      <c r="BG31" s="587">
        <f>IF(BG$16,IF(BH$16=0.5,MROUND(WeitsprungResultat[[#This Row],[Resultat]],BH$16),ROUND(WeitsprungResultat[[#This Row],[Resultat]],BH$16)),ROUNDDOWN(WeitsprungResultat[[#This Row],[Resultat]],BH$16))</f>
        <v>0</v>
      </c>
      <c r="BH31" s="191" t="str">
        <f>IF(OR(Geschlecht[[#This Row],[Geschlecht (Skala)]]="",BE$16=""),"",MID(Geschlecht[[#This Row],[Geschlecht (Skala)]],1,1)&amp;MID(BE$16,1,1))</f>
        <v/>
      </c>
      <c r="BI31" s="190" t="str">
        <f>IF(OR(BH31="",WeitsprungResultat[[#This Row],[Resultat]]=""),"",REPLACE(INDEX(StdDisziplinen[TabÜberschriftResultat],BE$3),FIND("X",INDEX(StdDisziplinen[TabÜberschriftResultat],BE$3),1),2,BH31))</f>
        <v/>
      </c>
      <c r="BJ31" s="192" t="str">
        <f ca="1">IF(BI31="","",IF(OR(WeitsprungResultat[[#This Row],[Resultat]]=Stammdaten!$AX$22,WeitsprungResultat[[#This Row],[Resultat]]=Stammdaten!$AX$19),Stammdaten!$AX$19,IF(ISNA(INDEX(INDIRECT(BI31),MATCH(WeitsprungGerundet[[#This Row],[Rundung]],INDIRECT(BI31),BI$18))),IF(BI$18=-1,LARGE(INDIRECT(BI31),1),SMALL(INDIRECT(BI31),1)),INDEX(INDIRECT(BI31),MATCH(WeitsprungGerundet[[#This Row],[Rundung]],INDIRECT(BI31),BI$18)))))</f>
        <v/>
      </c>
      <c r="BL31" s="18" t="str">
        <f ca="1">IF(WeitsprungSkalawert[[#This Row],[Skala-Wert]]="","",REPLACE(INDEX(StdDisziplinen[TabÜberschriftNote],BE$3),FIND("X",INDEX(StdDisziplinen[TabÜberschriftNote],BE$3),1),2,BH31))</f>
        <v/>
      </c>
      <c r="BM31" s="31" t="str">
        <f ca="1">IF(OR(BL31="",WeitsprungSkalawert[[#This Row],[Skala-Wert]]=Stammdaten!$AX$19),"",INDEX(INDIRECT(BL31),MATCH(WeitsprungSkalawert[[#This Row],[Skala-Wert]],INDIRECT(BI31),0)))</f>
        <v/>
      </c>
      <c r="BN31" s="31"/>
      <c r="BO31" s="37"/>
      <c r="BP31" s="190"/>
      <c r="BQ31" s="154">
        <f>IF(BQ$16,IF(BR$16=0.5,MROUND(BallwurfResultat[[#This Row],[Resultat]],BR$16),ROUND(BallwurfResultat[[#This Row],[Resultat]],BR$16)),ROUNDDOWN(BallwurfResultat[[#This Row],[Resultat]],BR$16))</f>
        <v>0</v>
      </c>
      <c r="BR31" s="191" t="str">
        <f>IF(OR(Geschlecht[[#This Row],[Geschlecht (Skala)]]="",BO$16=""),"",MID(Geschlecht[[#This Row],[Geschlecht (Skala)]],1,1)&amp;MID(BO$16,1,1))</f>
        <v/>
      </c>
      <c r="BS31" s="190" t="str">
        <f>IF(OR(BR31="",BallwurfResultat[[#This Row],[Resultat]]=""),"",REPLACE(INDEX(StdDisziplinen[TabÜberschriftResultat],BO$3),FIND("X",INDEX(StdDisziplinen[TabÜberschriftResultat],BO$3),1),2,BR31))</f>
        <v/>
      </c>
      <c r="BT31" s="45" t="str">
        <f ca="1">IF(BS31="","",IF(OR(BallwurfResultat[[#This Row],[Resultat]]=Stammdaten!$AX$22,BallwurfResultat[[#This Row],[Resultat]]=Stammdaten!$AX$19),Stammdaten!$AX$19,IF(ISNA(INDEX(INDIRECT(BS31),MATCH(BallwurfGerundet[[#This Row],[Rundung]],INDIRECT(BS31),BS$18))),IF(BS$18=-1,LARGE(INDIRECT(BS31),1),SMALL(INDIRECT(BS31),1)),INDEX(INDIRECT(BS31),MATCH(BallwurfGerundet[[#This Row],[Rundung]],INDIRECT(BS31),BS$18)))))</f>
        <v/>
      </c>
      <c r="BV31" s="18" t="str">
        <f ca="1">IF(BallwurfSkalawert[[#This Row],[Skala-Wert]]="","",REPLACE(INDEX(StdDisziplinen[TabÜberschriftNote],BO$3),FIND("X",INDEX(StdDisziplinen[TabÜberschriftNote],BO$3),1),2,BR31))</f>
        <v/>
      </c>
      <c r="BW31" s="31" t="str">
        <f ca="1">IF(OR(BV31="",BallwurfSkalawert[[#This Row],[Skala-Wert]]=Stammdaten!$AX$19),"",INDEX(INDIRECT(BV31),MATCH(BallwurfSkalawert[[#This Row],[Skala-Wert]],INDIRECT(BS31),0)))</f>
        <v/>
      </c>
      <c r="BX31" s="31"/>
      <c r="BY31" s="598"/>
      <c r="BZ31" s="190"/>
      <c r="CA31" s="154">
        <f>IF(CA$16,IF(CB$16=0.5,MROUND(KugelstossenResultat[[#This Row],[Resultat]],CB$16),ROUND(KugelstossenResultat[[#This Row],[Resultat]],CB$16)),ROUNDDOWN(KugelstossenResultat[[#This Row],[Resultat]],CB$16))</f>
        <v>0</v>
      </c>
      <c r="CB31" s="191" t="str">
        <f>IF(OR(Geschlecht[[#This Row],[Geschlecht (Skala)]]="",BY$16=""),"",MID(Geschlecht[[#This Row],[Geschlecht (Skala)]],1,1)&amp;MID(BY$16,1,1))</f>
        <v/>
      </c>
      <c r="CC31" s="190" t="str">
        <f>IF(OR(CB31="",KugelstossenResultat[[#This Row],[Resultat]]=""),"",REPLACE(INDEX(StdDisziplinen[TabÜberschriftResultat],BY$3),FIND("X",INDEX(StdDisziplinen[TabÜberschriftResultat],BY$3),1),2,CB31))</f>
        <v/>
      </c>
      <c r="CD31" s="45" t="str">
        <f ca="1">IF(CC31="","",IF(OR(KugelstossenResultat[[#This Row],[Resultat]]=Stammdaten!$AX$22,KugelstossenResultat[[#This Row],[Resultat]]=Stammdaten!$AX$19),Stammdaten!$AX$19,IF(ISNA(INDEX(INDIRECT(CC31),MATCH(KugelstossenGerundet[[#This Row],[Rundung]],INDIRECT(CC31),CC$18))),IF(CC$18=-1,LARGE(INDIRECT(CC31),1),SMALL(INDIRECT(CC31),1)),INDEX(INDIRECT(CC31),MATCH(KugelstossenGerundet[[#This Row],[Rundung]],INDIRECT(CC31),CC$18)))))</f>
        <v/>
      </c>
      <c r="CF31" s="18" t="str">
        <f ca="1">IF(KugelstossenSkalawert[[#This Row],[Skala-Wert]]="","",REPLACE(INDEX(StdDisziplinen[TabÜberschriftNote],BY$3),FIND("X",INDEX(StdDisziplinen[TabÜberschriftNote],BY$3),1),2,CB31))</f>
        <v/>
      </c>
      <c r="CG31" s="31" t="str">
        <f ca="1">IF(OR(CF31="",KugelstossenSkalawert[[#This Row],[Skala-Wert]]=Stammdaten!$AX$19),"",INDEX(INDIRECT(CF31),MATCH(KugelstossenSkalawert[[#This Row],[Skala-Wert]],INDIRECT(CC31),0)))</f>
        <v/>
      </c>
      <c r="CH31" s="31"/>
      <c r="CI31" s="37"/>
      <c r="CJ31" s="190"/>
      <c r="CK31" s="154">
        <f>IF(CK$16,IF(CL$16=0.5,MROUND(SpeerwurfResultat[[#This Row],[Resultat]],CL$16),ROUND(SpeerwurfResultat[[#This Row],[Resultat]],CL$16)),ROUNDDOWN(SpeerwurfResultat[[#This Row],[Resultat]],CL$16))</f>
        <v>0</v>
      </c>
      <c r="CL31" s="191" t="str">
        <f>IF(OR(Geschlecht[[#This Row],[Geschlecht (Skala)]]="",CI$16=""),"",MID(Geschlecht[[#This Row],[Geschlecht (Skala)]],1,1)&amp;MID(CI$16,1,1))</f>
        <v/>
      </c>
      <c r="CM31" s="190" t="str">
        <f>IF(OR(CL31="",SpeerwurfResultat[[#This Row],[Resultat]]=""),"",REPLACE(INDEX(StdDisziplinen[TabÜberschriftResultat],CI$3),FIND("X",INDEX(StdDisziplinen[TabÜberschriftResultat],CI$3),1),2,CL31))</f>
        <v/>
      </c>
      <c r="CN31" s="45" t="str">
        <f ca="1">IF(CM31="","",IF(OR(SpeerwurfResultat[[#This Row],[Resultat]]=Stammdaten!$AX$22,SpeerwurfResultat[[#This Row],[Resultat]]=Stammdaten!$AX$19),Stammdaten!$AX$19,IF(ISNA(INDEX(INDIRECT(CM31),MATCH(SpeerwurfGerundet[[#This Row],[Rundung]],INDIRECT(CM31),CM$18))),IF(CM$18=-1,LARGE(INDIRECT(CM31),1),SMALL(INDIRECT(CM31),1)),INDEX(INDIRECT(CM31),MATCH(SpeerwurfGerundet[[#This Row],[Rundung]],INDIRECT(CM31),CM$18)))))</f>
        <v/>
      </c>
      <c r="CP31" s="18" t="str">
        <f ca="1">IF(SpeerwurfSkalawert[[#This Row],[Skala-Wert]]="","",REPLACE(INDEX(StdDisziplinen[TabÜberschriftNote],CI$3),FIND("X",INDEX(StdDisziplinen[TabÜberschriftNote],CI$3),1),2,CL31))</f>
        <v/>
      </c>
      <c r="CQ31" s="31" t="str">
        <f ca="1">IF(OR(CP31="",SpeerwurfSkalawert[[#This Row],[Skala-Wert]]=Stammdaten!$AX$19),"",INDEX(INDIRECT(CP31),MATCH(SpeerwurfSkalawert[[#This Row],[Skala-Wert]],INDIRECT(CM31),0)))</f>
        <v/>
      </c>
      <c r="CR31" s="31"/>
      <c r="CS31" s="31" t="str">
        <f t="shared" ca="1" si="50"/>
        <v/>
      </c>
      <c r="CT31" s="31" t="str">
        <f t="shared" ca="1" si="50"/>
        <v/>
      </c>
      <c r="CU31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Row],[Skala-Wert]])&gt;0,MAX(CS31:CT31),99))</f>
        <v>Keine Note</v>
      </c>
      <c r="CV31" s="202" t="str">
        <f t="shared" ca="1" si="51"/>
        <v/>
      </c>
      <c r="CW31" s="202" t="str">
        <f ca="1">IF(CV31=$A$2,CS$10&amp;Stammdaten!$AX$25,IF(CU31=INDEX(StdFehler[],3),CS$10&amp;Stammdaten!$AX$27,INDEX(INDIRECT($B$4),MATCH(CV31,INDIRECT($B$5),0))))</f>
        <v>Sprintdisziplinen nicht durchgeführt</v>
      </c>
      <c r="CX31" s="202" t="str">
        <f ca="1">IFERROR(INDEX(INDIRECT(CX$12),MATCH(CV31,StdDisziplinen[ID],0)),"")</f>
        <v/>
      </c>
      <c r="CY31" s="202" t="e">
        <f t="shared" ca="1" si="52"/>
        <v>#N/A</v>
      </c>
      <c r="CZ31" s="202" t="e">
        <f t="shared" ca="1" si="53"/>
        <v>#N/A</v>
      </c>
      <c r="DA31" s="98" t="str">
        <f t="shared" ca="1" si="223"/>
        <v/>
      </c>
      <c r="DB31" s="202" t="e">
        <f t="shared" ca="1" si="54"/>
        <v>#N/A</v>
      </c>
      <c r="DC31" s="202" t="str">
        <f t="shared" ca="1" si="55"/>
        <v/>
      </c>
      <c r="DD31" s="31" t="str">
        <f t="shared" ca="1" si="56"/>
        <v/>
      </c>
      <c r="DE31" s="31" t="str">
        <f t="shared" ca="1" si="56"/>
        <v/>
      </c>
      <c r="DF31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Row],[Skala-Wert]])&gt;0,MAX(DD31:DE31),99))</f>
        <v>Keine Note</v>
      </c>
      <c r="DG31" s="202" t="str">
        <f t="shared" ca="1" si="57"/>
        <v/>
      </c>
      <c r="DH31" s="202" t="str">
        <f ca="1">IF(DG31=$A$2,DD$10&amp;Stammdaten!$AX$25,IF(DF31=INDEX(StdFehler[],3),DD$10&amp;Stammdaten!$AX$27,INDEX(INDIRECT($B$4),MATCH(DG31,INDIRECT($B$5),0))))</f>
        <v>Ausdauerdisziplinen nicht durchgeführt</v>
      </c>
      <c r="DI31" s="202" t="str">
        <f ca="1">IFERROR(INDEX(INDIRECT(DI$12),MATCH(DG31,StdDisziplinen[ID],0)),"")</f>
        <v/>
      </c>
      <c r="DJ31" s="202" t="e">
        <f t="shared" ca="1" si="58"/>
        <v>#N/A</v>
      </c>
      <c r="DK31" s="202" t="e">
        <f t="shared" ca="1" si="59"/>
        <v>#N/A</v>
      </c>
      <c r="DL31" s="96" t="str">
        <f t="shared" ca="1" si="60"/>
        <v/>
      </c>
      <c r="DM31" s="202" t="e">
        <f t="shared" ca="1" si="61"/>
        <v>#N/A</v>
      </c>
      <c r="DN31" s="202" t="str">
        <f t="shared" ca="1" si="62"/>
        <v/>
      </c>
      <c r="DO31" s="31" t="str">
        <f t="shared" ca="1" si="63"/>
        <v/>
      </c>
      <c r="DP31" s="31" t="str">
        <f t="shared" ca="1" si="63"/>
        <v/>
      </c>
      <c r="DQ31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Row],[Skala-Wert]])&gt;0,MAX(DO31:DP31),99))</f>
        <v>Keine Note</v>
      </c>
      <c r="DR31" s="202" t="str">
        <f t="shared" ca="1" si="64"/>
        <v/>
      </c>
      <c r="DS31" s="202" t="str">
        <f ca="1">IF(DR31=$A$2,DO$10&amp;Stammdaten!$AX$25,IF(DQ31=INDEX(StdFehler[],3),DO$10&amp;Stammdaten!$AX$27,INDEX(INDIRECT($B$4),MATCH(DR31,INDIRECT($B$5),0))))</f>
        <v>Sprungdisziplinen nicht durchgeführt</v>
      </c>
      <c r="DT31" s="202" t="str">
        <f ca="1">IFERROR(INDEX(INDIRECT(DT$12),MATCH(DR31,StdDisziplinen[ID],0)),"")</f>
        <v/>
      </c>
      <c r="DU31" s="202" t="e">
        <f t="shared" ca="1" si="65"/>
        <v>#N/A</v>
      </c>
      <c r="DV31" s="202" t="e">
        <f t="shared" ca="1" si="66"/>
        <v>#N/A</v>
      </c>
      <c r="DW31" s="202" t="str">
        <f t="shared" ca="1" si="67"/>
        <v/>
      </c>
      <c r="DX31" s="202" t="e">
        <f t="shared" ca="1" si="68"/>
        <v>#N/A</v>
      </c>
      <c r="DY31" s="202" t="str">
        <f t="shared" ca="1" si="69"/>
        <v/>
      </c>
      <c r="DZ31" s="31" t="str">
        <f ca="1">IF(BallwurfSkalawert[[#This Row],[Skala-Wert]]=$A$3,$A$2,IF(ISNUMBER(BallwurfSkalawert[[#This Row],[Skala-Wert]]),BallwurfNote[[#This Row],[Note]],"!"))</f>
        <v>!</v>
      </c>
      <c r="EA31" s="31" t="str">
        <f ca="1">IF(KugelstossenSkalawert[[#This Row],[Skala-Wert]]=$A$3,$A$2,IF(ISNUMBER(KugelstossenSkalawert[[#This Row],[Skala-Wert]]),KugelstossenNote[[#This Row],[Note]],"!"))</f>
        <v>!</v>
      </c>
      <c r="EB31" s="31" t="str">
        <f ca="1">IF(SpeerwurfSkalawert[[#This Row],[Skala-Wert]]=$A$3,$A$2,IF(ISNUMBER(SpeerwurfSkalawert[[#This Row],[Skala-Wert]]),SpeerwurfNote[[#This Row],[Note]],"!"))</f>
        <v>!</v>
      </c>
      <c r="EC31" s="95" t="str">
        <f ca="1">IF(ED31&gt;0,MAX(DZ31:EB31),IF(EE31&gt;0,99,INDEX(StdFehler[StdFehler],3)))</f>
        <v>Keine Note</v>
      </c>
      <c r="ED31" s="202">
        <f t="shared" ca="1" si="70"/>
        <v>0</v>
      </c>
      <c r="EE31" s="202">
        <f t="shared" ca="1" si="71"/>
        <v>0</v>
      </c>
      <c r="EF31" s="202" t="str">
        <f t="shared" ca="1" si="72"/>
        <v/>
      </c>
      <c r="EG31" s="202" t="str">
        <f ca="1">IF(EF31=$A$2,DZ$10&amp;Stammdaten!$AX$25,IF(EC31=INDEX(StdFehler[],3),DZ$10&amp;Stammdaten!$AX$27,INDEX(INDIRECT($B$4),MATCH(EF31,INDIRECT($B$5),0))))</f>
        <v>Wurfdisziplinen nicht durchgeführt</v>
      </c>
      <c r="EH31" s="202" t="str">
        <f ca="1">IFERROR(INDEX(INDIRECT(EH$12),MATCH(EF31,StdDisziplinen[ID],0)),"")</f>
        <v/>
      </c>
      <c r="EI31" s="202" t="e">
        <f t="shared" ca="1" si="73"/>
        <v>#N/A</v>
      </c>
      <c r="EJ31" s="202" t="e">
        <f t="shared" ca="1" si="74"/>
        <v>#N/A</v>
      </c>
      <c r="EK31" s="98" t="str">
        <f t="shared" ca="1" si="75"/>
        <v/>
      </c>
      <c r="EL31" s="202" t="e">
        <f t="shared" ca="1" si="76"/>
        <v>#N/A</v>
      </c>
      <c r="EM31" s="202" t="str">
        <f t="shared" ca="1" si="77"/>
        <v/>
      </c>
      <c r="EN31" s="200">
        <f t="shared" ca="1" si="1"/>
        <v>0</v>
      </c>
      <c r="EO31" s="202">
        <f t="shared" ca="1" si="78"/>
        <v>0</v>
      </c>
      <c r="EP31" s="96">
        <f t="shared" ca="1" si="2"/>
        <v>0</v>
      </c>
      <c r="EQ31" s="96">
        <f t="shared" ca="1" si="3"/>
        <v>0</v>
      </c>
      <c r="ER31" s="96">
        <f t="shared" ca="1" si="4"/>
        <v>0</v>
      </c>
      <c r="ES31" s="96">
        <f t="shared" ca="1" si="5"/>
        <v>0</v>
      </c>
      <c r="ET31" s="202">
        <f t="shared" ca="1" si="79"/>
        <v>0</v>
      </c>
      <c r="EU31" s="202" t="str">
        <f ca="1">IF($EO31=$FA$4,Stammdaten!$AX$19,IF(COUNTIF($EP31:$ES31,0)&lt;&gt;0,INDEX(StdFehler[StdFehler],4),ROUND(SUM($ET31/$EN31)/$FC$4,0)*$FC$4))</f>
        <v>Zu wenige Noten</v>
      </c>
      <c r="EV31" s="202" t="str">
        <f t="shared" ca="1" si="6"/>
        <v>Zu wenige Noten</v>
      </c>
      <c r="EW31" s="202" t="str">
        <f t="shared" ca="1" si="80"/>
        <v>Zu wenige Noten</v>
      </c>
      <c r="EX31" s="202" t="str">
        <f t="shared" ca="1" si="80"/>
        <v>Zu wenige Noten</v>
      </c>
      <c r="EY31" s="202" t="str">
        <f t="shared" ca="1" si="80"/>
        <v>Zu wenige Noten</v>
      </c>
      <c r="EZ31" s="202" t="str">
        <f t="shared" ca="1" si="81"/>
        <v>Zu wenige Noten</v>
      </c>
      <c r="FA31" s="202" t="str">
        <f t="shared" ca="1" si="82"/>
        <v>Zu wenige Noten</v>
      </c>
      <c r="FB31" s="31"/>
      <c r="FC31" s="56" t="str">
        <f t="shared" ca="1" si="83"/>
        <v>Zu wenige Noten</v>
      </c>
      <c r="FD31" s="31"/>
      <c r="FE31" s="597"/>
      <c r="FF31" s="190"/>
      <c r="FJ31" s="31"/>
      <c r="FK31" s="597"/>
      <c r="FL31" s="190"/>
      <c r="FP31" s="31"/>
      <c r="FQ31" s="597"/>
      <c r="FR31" s="190"/>
      <c r="FV31" s="31"/>
      <c r="FW31" s="597"/>
      <c r="FX31" s="190"/>
      <c r="GB31" s="31"/>
      <c r="GC31" s="597"/>
      <c r="GD31" s="190"/>
      <c r="GF31" s="154"/>
      <c r="GH31" s="31"/>
      <c r="GI31" s="597"/>
      <c r="GJ31" s="190"/>
      <c r="GN31" s="45"/>
      <c r="GO31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1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1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1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1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1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1" s="202">
        <f t="shared" si="7"/>
        <v>0</v>
      </c>
      <c r="GV31" s="202">
        <f t="shared" si="8"/>
        <v>0</v>
      </c>
      <c r="GW31" s="202">
        <f t="shared" si="84"/>
        <v>0</v>
      </c>
      <c r="GX31" s="200" t="str">
        <f t="shared" si="85"/>
        <v>!</v>
      </c>
      <c r="GY31" s="200" t="str">
        <f t="shared" si="9"/>
        <v>!</v>
      </c>
      <c r="GZ31" s="200" t="str">
        <f t="shared" si="10"/>
        <v>!</v>
      </c>
      <c r="HA31" s="244" t="str">
        <f t="shared" si="86"/>
        <v>nd</v>
      </c>
      <c r="HB31" s="244" t="str">
        <f t="shared" si="87"/>
        <v>nd</v>
      </c>
      <c r="HC31" s="244" t="str">
        <f t="shared" si="88"/>
        <v>nd</v>
      </c>
      <c r="HD31" s="244" t="str">
        <f t="shared" si="89"/>
        <v>nd</v>
      </c>
      <c r="HE31" s="244" t="str">
        <f t="shared" si="90"/>
        <v>nd</v>
      </c>
      <c r="HF31" s="244" t="str">
        <f t="shared" si="91"/>
        <v>nd</v>
      </c>
      <c r="HG31" s="202" t="b">
        <f t="shared" si="92"/>
        <v>0</v>
      </c>
      <c r="HH31" s="202">
        <f t="shared" si="93"/>
        <v>1</v>
      </c>
      <c r="HI31" s="202">
        <f t="shared" si="94"/>
        <v>0</v>
      </c>
      <c r="HJ31" s="200" t="str">
        <f t="shared" si="95"/>
        <v/>
      </c>
      <c r="HK31" s="200" t="str">
        <f t="shared" si="96"/>
        <v/>
      </c>
      <c r="HL31" s="200">
        <f t="shared" si="97"/>
        <v>0</v>
      </c>
      <c r="HM31" s="202" t="str">
        <f t="shared" si="98"/>
        <v/>
      </c>
      <c r="HN31" s="200" t="str">
        <f t="shared" si="99"/>
        <v/>
      </c>
      <c r="HO31" s="200" t="str">
        <f t="shared" si="100"/>
        <v/>
      </c>
      <c r="HP31" s="200" t="str">
        <f t="shared" si="101"/>
        <v/>
      </c>
      <c r="HQ31" s="242" t="str">
        <f t="shared" si="102"/>
        <v/>
      </c>
      <c r="HR31" s="242" t="str">
        <f t="shared" si="103"/>
        <v/>
      </c>
      <c r="HS31" s="242" t="str">
        <f t="shared" si="104"/>
        <v/>
      </c>
      <c r="HT31" s="242" t="str">
        <f t="shared" ca="1" si="105"/>
        <v>Erstes Gerät</v>
      </c>
      <c r="HU31" s="242" t="str">
        <f ca="1">IF(HT31=$HS$12,Stammdaten!$AY$27,IF(HW31=$A$2,TRIM(Stammdaten!$AX$25),""))</f>
        <v>nicht durchgeführt</v>
      </c>
      <c r="HV31" s="242" t="str">
        <f t="shared" ca="1" si="106"/>
        <v/>
      </c>
      <c r="HW31" s="277" t="str">
        <f t="shared" si="11"/>
        <v/>
      </c>
      <c r="HX31" s="202" t="str">
        <f t="shared" si="107"/>
        <v/>
      </c>
      <c r="HY31" s="202" t="str">
        <f t="shared" ca="1" si="108"/>
        <v/>
      </c>
      <c r="HZ31" s="202" t="str">
        <f t="shared" ca="1" si="109"/>
        <v>StdDisziplinen[MaxTextSt]</v>
      </c>
      <c r="IA31" s="202" t="str">
        <f t="shared" ca="1" si="12"/>
        <v/>
      </c>
      <c r="IB31" s="202" t="b">
        <f t="shared" si="110"/>
        <v>0</v>
      </c>
      <c r="IC31" s="202" t="str">
        <f t="shared" si="111"/>
        <v/>
      </c>
      <c r="ID31" s="202" t="str">
        <f t="shared" si="112"/>
        <v/>
      </c>
      <c r="IE31" s="202" t="str">
        <f t="shared" si="113"/>
        <v/>
      </c>
      <c r="IF31" s="202" t="str">
        <f t="shared" si="114"/>
        <v/>
      </c>
      <c r="IG31" s="242" t="str">
        <f t="shared" si="115"/>
        <v/>
      </c>
      <c r="IH31" s="242" t="str">
        <f t="shared" si="116"/>
        <v/>
      </c>
      <c r="II31" s="242" t="str">
        <f t="shared" ca="1" si="13"/>
        <v>Zweites Gerät</v>
      </c>
      <c r="IJ31" s="242" t="str">
        <f ca="1">IF(II31=$IH$12,Stammdaten!$AY$27,IF(IL31=$A$2,TRIM(Stammdaten!$AX$25),""))</f>
        <v>nicht durchgeführt</v>
      </c>
      <c r="IK31" s="242" t="str">
        <f t="shared" ca="1" si="117"/>
        <v/>
      </c>
      <c r="IL31" s="200" t="str">
        <f t="shared" si="14"/>
        <v/>
      </c>
      <c r="IM31" s="202" t="str">
        <f t="shared" si="118"/>
        <v/>
      </c>
      <c r="IN31" s="202" t="str">
        <f t="shared" ca="1" si="119"/>
        <v/>
      </c>
      <c r="IO31" s="202" t="str">
        <f t="shared" ca="1" si="120"/>
        <v>StdDisziplinen[MaxTextSt]</v>
      </c>
      <c r="IP31" s="202" t="str">
        <f t="shared" ca="1" si="121"/>
        <v/>
      </c>
      <c r="IQ31" s="202" t="b">
        <f t="shared" si="122"/>
        <v>0</v>
      </c>
      <c r="IR31" s="242" t="str">
        <f t="shared" ca="1" si="15"/>
        <v>Drittes Gerät</v>
      </c>
      <c r="IS31" s="242" t="str">
        <f ca="1">IF(IR31=$IR$12,MID(Stammdaten!$AX$27,2,LEN(Stammdaten!$AX$27)),IF(IU31=$A$2,TRIM(Stammdaten!$AX$25),""))</f>
        <v>nicht durchgeführt</v>
      </c>
      <c r="IT31" s="242" t="str">
        <f t="shared" ca="1" si="16"/>
        <v/>
      </c>
      <c r="IU31" s="200" t="str">
        <f t="shared" si="17"/>
        <v/>
      </c>
      <c r="IV31" s="202" t="str">
        <f t="shared" si="123"/>
        <v/>
      </c>
      <c r="IW31" s="202" t="str">
        <f t="shared" ca="1" si="124"/>
        <v/>
      </c>
      <c r="IX31" s="202" t="str">
        <f t="shared" ca="1" si="125"/>
        <v>StdDisziplinen[MaxTextSt]</v>
      </c>
      <c r="IY31" s="202" t="str">
        <f t="shared" ca="1" si="18"/>
        <v/>
      </c>
      <c r="IZ31" s="200" t="str">
        <f>IF(NOT(GW31),INDEX(StdFehler[StdFehler],4),IF(COUNTIF(GX31:GZ31,$A$2)&gt;=$IZ$4,$A$3,SUM(GX31:GZ31)))</f>
        <v>Zu wenige Noten</v>
      </c>
      <c r="JA31" s="31"/>
      <c r="JB31" s="587" t="e">
        <f t="shared" si="19"/>
        <v>#VALUE!</v>
      </c>
      <c r="JC31" s="191" t="str">
        <f>IF(OR(Geschlecht[[#This Row],[Geschlecht (Skala)]]="",IZ31=""),"",MID(Geschlecht[[#This Row],[Geschlecht (Skala)]],1,1)&amp;MID($FE$16,1,1))</f>
        <v/>
      </c>
      <c r="JD31" s="190" t="str">
        <f>IF(OR(JC31="",IZ31=""),"",REPLACE(INDEX(StdDisziplinen[TabÜberschriftResultat],$FE$3),FIND("X",INDEX(StdDisziplinen[TabÜberschriftResultat],$FE$3),1),2,JC31))</f>
        <v/>
      </c>
      <c r="JE31" s="192" t="str">
        <f ca="1">IF(OR(JD31="",IZ31=Stammdaten!$AZ$5),"",IF(OR(IZ31=Stammdaten!$AX$22,IZ31=Stammdaten!$AX$19),Stammdaten!$AX$19,IF(ISNA(INDEX(INDIRECT(JD31),MATCH(GeräteturnenGerundet[[#This Row],[Rundung]],INDIRECT(JD31),$JD$16))),IF($JD$16=-1,LARGE(INDIRECT(JD31),1),SMALL(INDIRECT(JD31),1)),INDEX(INDIRECT(JD31),MATCH(GeräteturnenGerundet[[#This Row],[Rundung]],INDIRECT(JD31),$JD$16)))))</f>
        <v/>
      </c>
      <c r="JG31" s="18" t="str">
        <f ca="1">IF(GeräteturnenSkalawert[[#This Row],[Skala-Wert]]="","",REPLACE(INDEX(StdDisziplinen[TabÜberschriftNote],$FE$3),FIND("X",INDEX(StdDisziplinen[TabÜberschriftNote],$FE$3),1),2,JC31))</f>
        <v/>
      </c>
      <c r="JH31" s="45" t="str">
        <f ca="1">IF(OR(JG31="",GeräteturnenSkalawert[[#This Row],[Skala-Wert]]=Stammdaten!$AX$19),"",INDEX(INDIRECT(JG31),MATCH(GeräteturnenSkalawert[[#This Row],[Skala-Wert]],INDIRECT(JD31),0)))</f>
        <v/>
      </c>
      <c r="JI31" s="31"/>
      <c r="JJ31" s="597"/>
      <c r="JK31" s="190"/>
      <c r="JL31" s="587">
        <f>IF(JL$16,IF(JM$16=0.5,MROUND(ParkourResultat[[#This Row],[Resultat]],JM$16),ROUND(ParkourResultat[[#This Row],[Resultat]],JM$16)),ROUNDDOWN(ParkourResultat[[#This Row],[Resultat]],JM$16))</f>
        <v>0</v>
      </c>
      <c r="JM31" s="191" t="str">
        <f>IF(OR(Geschlecht[[#This Row],[Geschlecht (Skala)]]="",JJ$16=""),"",MID(Geschlecht[[#This Row],[Geschlecht (Skala)]],1,1)&amp;MID(JJ$16,1,1))</f>
        <v/>
      </c>
      <c r="JN31" s="190" t="str">
        <f>IF(OR(JM31="",ParkourResultat[[#This Row],[Resultat]]=""),"",REPLACE(INDEX(StdDisziplinen[TabÜberschriftResultat],JJ$3),FIND("X",INDEX(StdDisziplinen[TabÜberschriftResultat],JJ$3),1),2,JM31))</f>
        <v/>
      </c>
      <c r="JO31" s="192" t="str">
        <f ca="1">IF(JN31="","",IF(OR(ParkourResultat[[#This Row],[Resultat]]=Stammdaten!$AX$22,ParkourResultat[[#This Row],[Resultat]]=Stammdaten!$AX$19),Stammdaten!$AX$19,IF(ISNA(INDEX(INDIRECT(JN31),MATCH(ParkourGerundet[[#This Row],[Rundung]],INDIRECT(JN31),JN$18))),IF(JN$18=-1,LARGE(INDIRECT(JN31),1),SMALL(INDIRECT(JN31),1)),INDEX(INDIRECT(JN31),MATCH(ParkourGerundet[[#This Row],[Rundung]],INDIRECT(JN31),JN$18)))))</f>
        <v/>
      </c>
      <c r="JQ31" s="18" t="str">
        <f ca="1">IF(ParkourSkalawert[[#This Row],[Skala-Wert]]="","",REPLACE(INDEX(StdDisziplinen[TabÜberschriftNote],JJ$3),FIND("X",INDEX(StdDisziplinen[TabÜberschriftNote],JJ$3),1),2,JM31))</f>
        <v/>
      </c>
      <c r="JR31" s="31" t="str">
        <f ca="1">IF(OR(JQ31="",ParkourSkalawert[[#This Row],[Skala-Wert]]=Stammdaten!$AX$19),"",INDEX(INDIRECT(JQ31),MATCH(ParkourSkalawert[[#This Row],[Skala-Wert]],INDIRECT(JN31),0)))</f>
        <v/>
      </c>
      <c r="JS31" s="96"/>
      <c r="JT31" s="47" t="str">
        <f ca="1">IF(OR(ISNUMBER(ParkourSkalawert[[#This Row],[Skala-Wert]]),ParkourSkalawert[[#This Row],[Skala-Wert]]=$A$3),INDEX(INDIRECT($JU$1),MATCH($JJ$3,INDIRECT($B$5),0)),"")</f>
        <v/>
      </c>
      <c r="JU31" s="200" t="str">
        <f t="shared" ca="1" si="126"/>
        <v>StdDisziplinen[MaxTextSt]</v>
      </c>
      <c r="JV31" s="200" t="str">
        <f t="shared" ca="1" si="127"/>
        <v/>
      </c>
      <c r="JW31" s="98">
        <f ca="1">IF(GeräteturnenSkalawert[[#This Row],[Skala-Wert]]=$A$3,$A$2,IF(GeräteturnenNote[[#This Row],[Note]]="",0,GeräteturnenNote[[#This Row],[Note]]))</f>
        <v>0</v>
      </c>
      <c r="JX31" s="96">
        <f ca="1">IF(ParkourSkalawert[[#This Row],[Skala-Wert]]=$A$3,$A$2,IF(ParkourNote[[#This Row],[Note]]="",0,ParkourNote[[#This Row],[Note]]))</f>
        <v>0</v>
      </c>
      <c r="JY31" s="200">
        <f t="shared" ca="1" si="128"/>
        <v>0</v>
      </c>
      <c r="JZ31" s="200">
        <f t="shared" ca="1" si="129"/>
        <v>0</v>
      </c>
      <c r="KA31" s="202">
        <f t="shared" ca="1" si="130"/>
        <v>0</v>
      </c>
      <c r="KB31" s="98" t="str">
        <f t="shared" ca="1" si="20"/>
        <v>!</v>
      </c>
      <c r="KC31" s="98" t="str">
        <f t="shared" ca="1" si="21"/>
        <v>!</v>
      </c>
      <c r="KD31" s="202" t="str">
        <f ca="1">IF(NOT(KA31),INDEX(StdFehler[StdFehler],4),IF(JZ31=$KA$12,$A$3,IF(JW31=$A$2,JX31,IF(JX31=$A$2,JW31,CONCATENATE(JW31,", ",JX31)))))</f>
        <v>Zu wenige Noten</v>
      </c>
      <c r="KE31" s="202" t="str">
        <f t="shared" ca="1" si="131"/>
        <v>Zu wenige Noten</v>
      </c>
      <c r="KF31" s="31"/>
      <c r="KG31" s="56" t="str">
        <f ca="1">IF(NOT(KA31),INDEX(StdFehler[StdFehler],4),IF(JZ31=$KA$12,$A$3,ROUND(AVERAGE(KB31:KC31)/$KG$4,0)*$KG$4))</f>
        <v>Zu wenige Noten</v>
      </c>
      <c r="KH31" s="31"/>
      <c r="KI31" s="599"/>
      <c r="KJ31" s="190"/>
      <c r="KK31" s="586">
        <f>IF(KK$16,IF(KL$16=0.5,MROUND(TanzenResultat[[#This Row],[Resultat]],KL$16),ROUND(TanzenResultat[[#This Row],[Resultat]],KL$16)),ROUNDDOWN(TanzenResultat[[#This Row],[Resultat]],KL$16))</f>
        <v>0</v>
      </c>
      <c r="KL31" s="191" t="str">
        <f>IF(OR(Geschlecht[[#This Row],[Geschlecht (Skala)]]="",KI$16=""),"",MID(Geschlecht[[#This Row],[Geschlecht (Skala)]],1,1)&amp;MID(KI$16,1,1))</f>
        <v/>
      </c>
      <c r="KM31" s="190" t="str">
        <f>IF(OR(KL31="",TanzenResultat[[#This Row],[Resultat]]=""),"",REPLACE(INDEX(StdDisziplinen[TabÜberschriftResultat],KI$3),FIND("X",INDEX(StdDisziplinen[TabÜberschriftResultat],KI$3),1),2,KL31))</f>
        <v/>
      </c>
      <c r="KN31" s="31" t="str">
        <f ca="1">IF(KM31="","",IF(OR(TanzenResultat[[#This Row],[Resultat]]=Stammdaten!$AX$22,TanzenResultat[[#This Row],[Resultat]]=Stammdaten!$AX$19),Stammdaten!$AX$19,IF(ISNA(INDEX(INDIRECT(KM31),MATCH(TanzenGerundet[[#This Row],[Rundung]],INDIRECT(KM31),KM$18))),IF(KM$18=-1,LARGE(INDIRECT(KM31),1),SMALL(INDIRECT(KM31),1)),INDEX(INDIRECT(KM31),MATCH(TanzenGerundet[[#This Row],[Rundung]],INDIRECT(KM31),KM$18)))))</f>
        <v/>
      </c>
      <c r="KP31" s="18" t="str">
        <f ca="1">IF(TanzenSkalawert[[#This Row],[Skala-Wert]]="","",REPLACE(INDEX(StdDisziplinen[TabÜberschriftNote],KI$3),FIND("X",INDEX(StdDisziplinen[TabÜberschriftNote],KI$3),1),2,KL31))</f>
        <v/>
      </c>
      <c r="KQ31" s="45" t="str">
        <f ca="1">IF(OR(KP31="",TanzenSkalawert[[#This Row],[Skala-Wert]]=Stammdaten!$AX$19),"",INDEX(INDIRECT(KP31),MATCH(TanzenSkalawert[[#This Row],[Skala-Wert]],INDIRECT(KM31),0)))</f>
        <v/>
      </c>
      <c r="KR31" s="31"/>
      <c r="KS31" s="597"/>
      <c r="KT31" s="190"/>
      <c r="KU31" s="587">
        <f>IF(KU$16,IF(KV$16=0.5,MROUND(RopeSkippingResultat[[#This Row],[Resultat]],KV$16),ROUND(RopeSkippingResultat[[#This Row],[Resultat]],KV$16)),ROUNDDOWN(RopeSkippingResultat[[#This Row],[Resultat]],KV$16))</f>
        <v>0</v>
      </c>
      <c r="KV31" s="191" t="str">
        <f>IF(OR(Geschlecht[[#This Row],[Geschlecht (Skala)]]="",KS$16=""),"",MID(Geschlecht[[#This Row],[Geschlecht (Skala)]],1,1)&amp;MID(KS$16,1,1))</f>
        <v/>
      </c>
      <c r="KW31" s="190" t="str">
        <f>IF(OR(KV31="",RopeSkippingResultat[[#This Row],[Resultat]]=""),"",REPLACE(INDEX(StdDisziplinen[TabÜberschriftResultat],KS$3),FIND("X",INDEX(StdDisziplinen[TabÜberschriftResultat],KS$3),1),2,KV31))</f>
        <v/>
      </c>
      <c r="KX31" s="192" t="str">
        <f ca="1">IF(KW31="","",IF(OR(RopeSkippingResultat[[#This Row],[Resultat]]=Stammdaten!$AX$22,RopeSkippingResultat[[#This Row],[Resultat]]=Stammdaten!$AX$19),Stammdaten!$AX$19,IF(ISNA(INDEX(INDIRECT(KW31),MATCH(RopeSkippingGerundet[[#This Row],[Rundung]],INDIRECT(KW31),KW$18))),IF(KW$18=-1,LARGE(INDIRECT(KW31),1),SMALL(INDIRECT(KW31),1)),INDEX(INDIRECT(KW31),MATCH(RopeSkippingGerundet[[#This Row],[Rundung]],INDIRECT(KW31),KW$18)))))</f>
        <v/>
      </c>
      <c r="KZ31" s="18" t="str">
        <f ca="1">IF(RopeSkippingSkalawert[[#This Row],[Skala-Wert]]="","",REPLACE(INDEX(StdDisziplinen[TabÜberschriftNote],KS$3),FIND("X",INDEX(StdDisziplinen[TabÜberschriftNote],KS$3),1),2,KV31))</f>
        <v/>
      </c>
      <c r="LA31" s="45" t="str">
        <f ca="1">IF(OR(KZ31="",RopeSkippingSkalawert[[#This Row],[Skala-Wert]]=Stammdaten!$AX$19),"",INDEX(INDIRECT(KZ31),MATCH(RopeSkippingSkalawert[[#This Row],[Skala-Wert]],INDIRECT(KW31),0)))</f>
        <v/>
      </c>
      <c r="LB31" s="31"/>
      <c r="LC31" s="599"/>
      <c r="LD31" s="190"/>
      <c r="LE31" s="586">
        <f>IF(LE$16,IF(LF$16=0.5,MROUND(AerobicResultat[[#This Row],[Resultat]],LF$16),ROUND(AerobicResultat[[#This Row],[Resultat]],LF$16)),ROUNDDOWN(AerobicResultat[[#This Row],[Resultat]],LF$16))</f>
        <v>0</v>
      </c>
      <c r="LF31" s="191" t="str">
        <f>IF(OR(Geschlecht[[#This Row],[Geschlecht (Skala)]]="",LC$16=""),"",MID(Geschlecht[[#This Row],[Geschlecht (Skala)]],1,1)&amp;MID(LC$16,1,1))</f>
        <v/>
      </c>
      <c r="LG31" s="190" t="str">
        <f>IF(OR(LF31="",AerobicResultat[[#This Row],[Resultat]]=""),"",REPLACE(INDEX(StdDisziplinen[TabÜberschriftResultat],LC$3),FIND("X",INDEX(StdDisziplinen[TabÜberschriftResultat],LC$3),1),2,LF31))</f>
        <v/>
      </c>
      <c r="LH31" s="31" t="str">
        <f ca="1">IF(LG31="","",IF(OR(AerobicResultat[[#This Row],[Resultat]]=Stammdaten!$AX$22,AerobicResultat[[#This Row],[Resultat]]=Stammdaten!$AX$19),Stammdaten!$AX$19,IF(ISNA(INDEX(INDIRECT(LG31),MATCH(AerobicGerundet[[#This Row],[Rundung]],INDIRECT(LG31),LG$18))),IF(LG$18=-1,LARGE(INDIRECT(LG31),1),SMALL(INDIRECT(LG31),1)),INDEX(INDIRECT(LG31),MATCH(AerobicGerundet[[#This Row],[Rundung]],INDIRECT(LG31),LG$18)))))</f>
        <v/>
      </c>
      <c r="LJ31" s="18" t="str">
        <f ca="1">IF(AerobicSkalawert[[#This Row],[Skala-Wert]]="","",REPLACE(INDEX(StdDisziplinen[TabÜberschriftNote],LC$3),FIND("X",INDEX(StdDisziplinen[TabÜberschriftNote],LC$3),1),2,LF31))</f>
        <v/>
      </c>
      <c r="LK31" s="45" t="str">
        <f ca="1">IF(OR(LJ31="",AerobicSkalawert[[#This Row],[Skala-Wert]]=Stammdaten!$AX$19),"",INDEX(INDIRECT(LJ31),MATCH(AerobicSkalawert[[#This Row],[Skala-Wert]],INDIRECT(LG31),0)))</f>
        <v/>
      </c>
      <c r="LL31" s="31"/>
      <c r="LM31" s="45" t="str">
        <f ca="1">IF(TanzenSkalawert[[#This Row],[Skala-Wert]]=$A$3,$A$2,IF(ISNUMBER(TanzenSkalawert[[#This Row],[Skala-Wert]]),TanzenNote[[#This Row],[Note]],"!"))</f>
        <v>!</v>
      </c>
      <c r="LN31" s="45" t="str">
        <f ca="1">IF(RopeSkippingSkalawert[[#This Row],[Skala-Wert]]=$A$3,$A$2,IF(ISNUMBER(RopeSkippingSkalawert[[#This Row],[Skala-Wert]]),RopeSkippingNote[[#This Row],[Note]],"!"))</f>
        <v>!</v>
      </c>
      <c r="LO31" s="45" t="str">
        <f ca="1">IF(AerobicSkalawert[[#This Row],[Skala-Wert]]=$A$3,$A$2,IF(ISNUMBER(AerobicSkalawert[[#This Row],[Skala-Wert]]),AerobicNote[[#This Row],[Note]],"!"))</f>
        <v>!</v>
      </c>
      <c r="LP31" s="36">
        <f t="shared" ca="1" si="132"/>
        <v>0</v>
      </c>
      <c r="LQ31" s="36">
        <f t="shared" ca="1" si="133"/>
        <v>0</v>
      </c>
      <c r="LR31" s="244" t="str">
        <f t="shared" ca="1" si="22"/>
        <v>nd</v>
      </c>
      <c r="LS31" s="244" t="str">
        <f t="shared" ca="1" si="23"/>
        <v>nd</v>
      </c>
      <c r="LT31" s="244" t="str">
        <f t="shared" ca="1" si="24"/>
        <v>nd</v>
      </c>
      <c r="LU31" s="242" t="str">
        <f t="shared" ca="1" si="25"/>
        <v/>
      </c>
      <c r="LV31" s="242" t="str">
        <f t="shared" ca="1" si="134"/>
        <v/>
      </c>
      <c r="LW31" s="242" t="str">
        <f t="shared" ca="1" si="135"/>
        <v/>
      </c>
      <c r="LX31" s="242" t="str">
        <f ca="1">IF(LW31="",Stammdaten!$AM$4,INDEX(INDIRECT($B$4),MATCH($LW31,INDIRECT($B$5),0)))</f>
        <v>Darstellen und Tanzen</v>
      </c>
      <c r="LY31" s="242" t="str">
        <f ca="1">IF(LW31="",Stammdaten!$AY$27,IF(ISNUMBER(LU31),LX31,IF(ISNUMBER(LV31),TRIM(Stammdaten!$AX$25),"")))</f>
        <v>nicht durchgeführt</v>
      </c>
      <c r="LZ31" s="242" t="str">
        <f t="shared" ca="1" si="136"/>
        <v>Darstellen und Tanzen</v>
      </c>
      <c r="MA31" s="242" t="str">
        <f t="shared" ca="1" si="137"/>
        <v/>
      </c>
      <c r="MB31" s="242" t="str">
        <f t="shared" ca="1" si="26"/>
        <v>Darstellen und TanzenResultat[@Resultat]</v>
      </c>
      <c r="MC31" s="274" t="str">
        <f t="shared" ca="1" si="138"/>
        <v/>
      </c>
      <c r="MD31" s="242" t="str">
        <f t="shared" ca="1" si="139"/>
        <v>Darstellen und TanzenSkalawert[@[Skala-Wert]]</v>
      </c>
      <c r="ME31" s="274" t="str">
        <f t="shared" ca="1" si="140"/>
        <v/>
      </c>
      <c r="MF31" s="47" t="str">
        <f t="shared" ca="1" si="27"/>
        <v/>
      </c>
      <c r="MG31" s="200" t="str">
        <f t="shared" ca="1" si="141"/>
        <v>StdDisziplinen[MaxTextSt]</v>
      </c>
      <c r="MH31" s="200" t="str">
        <f t="shared" ca="1" si="142"/>
        <v/>
      </c>
      <c r="MI31" s="45"/>
      <c r="MJ31" s="98" t="str">
        <f ca="1">IF(LP31&gt;0,MAX(LM31:LO31),IF(LQ31&gt;0,$A$3,INDEX(StdFehler[StdFehler],4)))</f>
        <v>Zu wenige Noten</v>
      </c>
      <c r="MK31" s="45"/>
      <c r="ML31" s="37"/>
      <c r="MM31" s="190"/>
      <c r="MN31" s="586">
        <f>IF(MN$16,IF(MO$16=0.5,MROUND(BasketballResultat[[#This Row],[Resultat]],MO$16),ROUND(BasketballResultat[[#This Row],[Resultat]],MO$16)),ROUNDDOWN(BasketballResultat[[#This Row],[Resultat]],MO$16))</f>
        <v>0</v>
      </c>
      <c r="MO31" s="191" t="str">
        <f>IF(OR(Geschlecht[[#This Row],[Geschlecht (Skala)]]="",ML$16=""),"",MID(Geschlecht[[#This Row],[Geschlecht (Skala)]],1,1)&amp;MID(ML$16,1,1))</f>
        <v/>
      </c>
      <c r="MP31" s="190" t="str">
        <f>IF(OR(MO31="",BasketballResultat[[#This Row],[Resultat]]=""),"",REPLACE(INDEX(StdDisziplinen[TabÜberschriftResultat],ML$3),FIND("X",INDEX(StdDisziplinen[TabÜberschriftResultat],ML$3),1),2,MO31))</f>
        <v/>
      </c>
      <c r="MQ31" s="31" t="str">
        <f ca="1">IF(MP31="","",IF(OR(BasketballResultat[[#This Row],[Resultat]]=Stammdaten!$AX$22,BasketballResultat[[#This Row],[Resultat]]=Stammdaten!$AX$19),Stammdaten!$AX$19,IF(ISNA(INDEX(INDIRECT(MP31),MATCH(BasketballGerundet[[#This Row],[Rundung]],INDIRECT(MP31),MP$18))),IF(MP$18=-1,LARGE(INDIRECT(MP31),1),SMALL(INDIRECT(MP31),1)),INDEX(INDIRECT(MP31),MATCH(BasketballGerundet[[#This Row],[Rundung]],INDIRECT(MP31),MP$18)))))</f>
        <v/>
      </c>
      <c r="MS31" s="18" t="str">
        <f ca="1">IF(BasketballSkalawert[[#This Row],[Skala-Wert]]="","",REPLACE(INDEX(StdDisziplinen[TabÜberschriftNote],ML$3),FIND("X",INDEX(StdDisziplinen[TabÜberschriftNote],ML$3),1),2,MO31))</f>
        <v/>
      </c>
      <c r="MT31" s="31" t="str">
        <f ca="1">IF(OR(MS31="",BasketballSkalawert[[#This Row],[Skala-Wert]]=Stammdaten!$AX$19),"",INDEX(INDIRECT(MS31),MATCH(BasketballSkalawert[[#This Row],[Skala-Wert]],INDIRECT(MP31),0)))</f>
        <v/>
      </c>
      <c r="MU31" s="31"/>
      <c r="MV31" s="37"/>
      <c r="MW31" s="190"/>
      <c r="MX31" s="586">
        <f>IF(MX$16,IF(MY$16=0.5,MROUND(FussballResultat[[#This Row],[Resultat]],MY$16),ROUND(FussballResultat[[#This Row],[Resultat]],MY$16)),ROUNDDOWN(FussballResultat[[#This Row],[Resultat]],MY$16))</f>
        <v>0</v>
      </c>
      <c r="MY31" s="191" t="str">
        <f>IF(OR(Geschlecht[[#This Row],[Geschlecht (Skala)]]="",MV$16=""),"",MID(Geschlecht[[#This Row],[Geschlecht (Skala)]],1,1)&amp;MID(MV$16,1,1))</f>
        <v/>
      </c>
      <c r="MZ31" s="190" t="str">
        <f>IF(OR(MY31="",FussballResultat[[#This Row],[Resultat]]=""),"",REPLACE(INDEX(StdDisziplinen[TabÜberschriftResultat],MV$3),FIND("X",INDEX(StdDisziplinen[TabÜberschriftResultat],MV$3),1),2,MY31))</f>
        <v/>
      </c>
      <c r="NA31" s="31" t="str">
        <f ca="1">IF(MZ31="","",IF(OR(FussballResultat[[#This Row],[Resultat]]=Stammdaten!$AX$22,FussballResultat[[#This Row],[Resultat]]=Stammdaten!$AX$19),Stammdaten!$AX$19,IF(ISNA(INDEX(INDIRECT(MZ31),MATCH(FussballGerundet[[#This Row],[Rundung]],INDIRECT(MZ31),MZ$18))),IF(MZ$18=-1,LARGE(INDIRECT(MZ31),1),SMALL(INDIRECT(MZ31),1)),INDEX(INDIRECT(MZ31),MATCH(FussballGerundet[[#This Row],[Rundung]],INDIRECT(MZ31),MZ$18)))))</f>
        <v/>
      </c>
      <c r="NC31" s="18" t="str">
        <f ca="1">IF(FussballSkalawert[[#This Row],[Skala-Wert]]="","",REPLACE(INDEX(StdDisziplinen[TabÜberschriftNote],MV$3),FIND("X",INDEX(StdDisziplinen[TabÜberschriftNote],MV$3),1),2,MY31))</f>
        <v/>
      </c>
      <c r="ND31" s="31" t="str">
        <f ca="1">IF(OR(NC31="",FussballSkalawert[[#This Row],[Skala-Wert]]=Stammdaten!$AX$19),"",INDEX(INDIRECT(NC31),MATCH(FussballSkalawert[[#This Row],[Skala-Wert]],INDIRECT(MZ31),0)))</f>
        <v/>
      </c>
      <c r="NE31" s="31"/>
      <c r="NF31" s="37"/>
      <c r="NG31" s="190"/>
      <c r="NH31" s="586">
        <f>IF(NH$16,IF(NI$16=0.5,MROUND(HandballResultat[[#This Row],[Resultat]],NI$16),ROUND(HandballResultat[[#This Row],[Resultat]],NI$16)),ROUNDDOWN(HandballResultat[[#This Row],[Resultat]],NI$16))</f>
        <v>0</v>
      </c>
      <c r="NI31" s="191" t="str">
        <f>IF(OR(Geschlecht[[#This Row],[Geschlecht (Skala)]]="",NF$16=""),"",MID(Geschlecht[[#This Row],[Geschlecht (Skala)]],1,1)&amp;MID(NF$16,1,1))</f>
        <v/>
      </c>
      <c r="NJ31" s="190" t="str">
        <f>IF(OR(NI31="",HandballResultat[[#This Row],[Resultat]]=""),"",REPLACE(INDEX(StdDisziplinen[TabÜberschriftResultat],NF$3),FIND("X",INDEX(StdDisziplinen[TabÜberschriftResultat],NF$3),1),2,NI31))</f>
        <v/>
      </c>
      <c r="NK31" s="31" t="str">
        <f ca="1">IF(NJ31="","",IF(OR(HandballResultat[[#This Row],[Resultat]]=Stammdaten!$AX$22,HandballResultat[[#This Row],[Resultat]]=Stammdaten!$AX$19),Stammdaten!$AX$19,IF(ISNA(INDEX(INDIRECT(NJ31),MATCH(HandballGerundet[[#This Row],[Rundung]],INDIRECT(NJ31),NJ$18))),IF(NJ$18=-1,LARGE(INDIRECT(NJ31),1),SMALL(INDIRECT(NJ31),1)),INDEX(INDIRECT(NJ31),MATCH(HandballGerundet[[#This Row],[Rundung]],INDIRECT(NJ31),NJ$18)))))</f>
        <v/>
      </c>
      <c r="NM31" s="18" t="str">
        <f ca="1">IF(HandballSkalawert[[#This Row],[Skala-Wert]]="","",REPLACE(INDEX(StdDisziplinen[TabÜberschriftNote],NF$3),FIND("X",INDEX(StdDisziplinen[TabÜberschriftNote],NF$3),1),2,NI31))</f>
        <v/>
      </c>
      <c r="NN31" s="31" t="str">
        <f ca="1">IF(OR(NM31="",HandballSkalawert[[#This Row],[Skala-Wert]]=Stammdaten!$AX$19),"",INDEX(INDIRECT(NM31),MATCH(HandballSkalawert[[#This Row],[Skala-Wert]],INDIRECT(NJ31),0)))</f>
        <v/>
      </c>
      <c r="NO31" s="31"/>
      <c r="NP31" s="37"/>
      <c r="NQ31" s="190"/>
      <c r="NR31" s="586">
        <f>IF(NR$16,IF(NS$16=0.5,MROUND(UnihockeyResultat[[#This Row],[Resultat]],NS$16),ROUND(UnihockeyResultat[[#This Row],[Resultat]],NS$16)),ROUNDDOWN(UnihockeyResultat[[#This Row],[Resultat]],NS$16))</f>
        <v>0</v>
      </c>
      <c r="NS31" s="191" t="str">
        <f>IF(OR(Geschlecht[[#This Row],[Geschlecht (Skala)]]="",NP$16=""),"",MID(Geschlecht[[#This Row],[Geschlecht (Skala)]],1,1)&amp;MID(NP$16,1,1))</f>
        <v/>
      </c>
      <c r="NT31" s="190" t="str">
        <f>IF(OR(NS31="",UnihockeyResultat[[#This Row],[Resultat]]=""),"",REPLACE(INDEX(StdDisziplinen[TabÜberschriftResultat],NP$3),FIND("X",INDEX(StdDisziplinen[TabÜberschriftResultat],NP$3),1),2,NS31))</f>
        <v/>
      </c>
      <c r="NU31" s="31" t="str">
        <f ca="1">IF(NT31="","",IF(OR(UnihockeyResultat[[#This Row],[Resultat]]=Stammdaten!$AX$22,UnihockeyResultat[[#This Row],[Resultat]]=Stammdaten!$AX$19),Stammdaten!$AX$19,IF(ISNA(INDEX(INDIRECT(NT31),MATCH(UnihockeyGerundet[[#This Row],[Rundung]],INDIRECT(NT31),NT$18))),IF(NT$18=-1,LARGE(INDIRECT(NT31),1),SMALL(INDIRECT(NT31),1)),INDEX(INDIRECT(NT31),MATCH(UnihockeyGerundet[[#This Row],[Rundung]],INDIRECT(NT31),NT$18)))))</f>
        <v/>
      </c>
      <c r="NW31" s="18" t="str">
        <f ca="1">IF(UnihockeySkalawert[[#This Row],[Skala-Wert]]="","",REPLACE(INDEX(StdDisziplinen[TabÜberschriftNote],NP$3),FIND("X",INDEX(StdDisziplinen[TabÜberschriftNote],NP$3),1),2,NS31))</f>
        <v/>
      </c>
      <c r="NX31" s="31" t="str">
        <f ca="1">IF(OR(NW31="",UnihockeySkalawert[[#This Row],[Skala-Wert]]=Stammdaten!$AX$19),"",INDEX(INDIRECT(NW31),MATCH(UnihockeySkalawert[[#This Row],[Skala-Wert]],INDIRECT(NT31),0)))</f>
        <v/>
      </c>
      <c r="NY31" s="31"/>
      <c r="NZ31" s="597"/>
      <c r="OA31" s="190"/>
      <c r="OB31" s="587">
        <f>IF(OB$16,IF(OC$16=0.5,MROUND(VolleyballResultat[[#This Row],[Resultat]],OC$16),ROUND(VolleyballResultat[[#This Row],[Resultat]],OC$16)),ROUNDDOWN(VolleyballResultat[[#This Row],[Resultat]],OC$16))</f>
        <v>0</v>
      </c>
      <c r="OC31" s="191" t="str">
        <f>IF(OR(Geschlecht[[#This Row],[Geschlecht (Skala)]]="",NZ$16=""),"",MID(Geschlecht[[#This Row],[Geschlecht (Skala)]],1,1)&amp;MID(NZ$16,1,1))</f>
        <v/>
      </c>
      <c r="OD31" s="190" t="str">
        <f>IF(OR(OC31="",VolleyballResultat[[#This Row],[Resultat]]=""),"",REPLACE(INDEX(StdDisziplinen[TabÜberschriftResultat],NZ$3),FIND("X",INDEX(StdDisziplinen[TabÜberschriftResultat],NZ$3),1),2,OC31))</f>
        <v/>
      </c>
      <c r="OE31" s="192" t="str">
        <f ca="1">IF(OD31="","",IF(OR(VolleyballResultat[[#This Row],[Resultat]]=Stammdaten!$AX$22,VolleyballResultat[[#This Row],[Resultat]]=Stammdaten!$AX$19),Stammdaten!$AX$19,IF(ISNA(INDEX(INDIRECT(OD31),MATCH(VolleyballGerundet[[#This Row],[Rundung]],INDIRECT(OD31),OD$18))),IF(OD$18=-1,LARGE(INDIRECT(OD31),1),SMALL(INDIRECT(OD31),1)),INDEX(INDIRECT(OD31),MATCH(VolleyballGerundet[[#This Row],[Rundung]],INDIRECT(OD31),OD$18)))))</f>
        <v/>
      </c>
      <c r="OG31" s="18" t="str">
        <f ca="1">IF(VolleyballSkalawert[[#This Row],[Skala-Wert]]="","",REPLACE(INDEX(StdDisziplinen[TabÜberschriftNote],NZ$3),FIND("X",INDEX(StdDisziplinen[TabÜberschriftNote],NZ$3),1),2,OC31))</f>
        <v/>
      </c>
      <c r="OH31" s="31" t="str">
        <f ca="1">IF(OR(OG31="",VolleyballSkalawert[[#This Row],[Skala-Wert]]=Stammdaten!$AX$19),"",INDEX(INDIRECT(OG31),MATCH(VolleyballSkalawert[[#This Row],[Skala-Wert]],INDIRECT(OD31),0)))</f>
        <v/>
      </c>
      <c r="OI31" s="45"/>
      <c r="OJ31" s="31">
        <f ca="1">IF(BasketballSkalawert[[#This Row],[Skala-Wert]]=$A$3,$A$2,IF(BasketballNote[[#This Row],[Note]]="",0,BasketballNote[[#This Row],[Note]]))</f>
        <v>0</v>
      </c>
      <c r="OK31" s="31">
        <f ca="1">IF(FussballSkalawert[[#This Row],[Skala-Wert]]=$A$3,$A$2,IF(FussballNote[[#This Row],[Note]]="",0,FussballNote[[#This Row],[Note]]))</f>
        <v>0</v>
      </c>
      <c r="OL31" s="31">
        <f ca="1">IF(HandballSkalawert[[#This Row],[Skala-Wert]]=$A$3,$A$2,IF(HandballNote[[#This Row],[Note]]="",0,HandballNote[[#This Row],[Note]]))</f>
        <v>0</v>
      </c>
      <c r="OM31" s="31">
        <f ca="1">IF(UnihockeySkalawert[[#This Row],[Skala-Wert]]=$A$3,$A$2,IF(UnihockeyNote[[#This Row],[Note]]="",0,UnihockeyNote[[#This Row],[Note]]))</f>
        <v>0</v>
      </c>
      <c r="ON31" s="31">
        <f ca="1">IF(VolleyballSkalawert[[#This Row],[Skala-Wert]]=$A$3,$A$2,IF(VolleyballNote[[#This Row],[Note]]="",0,VolleyballNote[[#This Row],[Note]]))</f>
        <v>0</v>
      </c>
      <c r="OO31" s="202">
        <f t="shared" ca="1" si="28"/>
        <v>0</v>
      </c>
      <c r="OP31" s="202">
        <f t="shared" ca="1" si="29"/>
        <v>0</v>
      </c>
      <c r="OQ31" s="202">
        <f t="shared" ca="1" si="143"/>
        <v>0</v>
      </c>
      <c r="OR31" s="96" t="str">
        <f t="shared" ca="1" si="144"/>
        <v>!</v>
      </c>
      <c r="OS31" s="96" t="str">
        <f t="shared" ca="1" si="30"/>
        <v>!</v>
      </c>
      <c r="OT31" s="96" t="str">
        <f t="shared" ca="1" si="31"/>
        <v>!</v>
      </c>
      <c r="OU31" s="96" t="str">
        <f ca="1">IF(NOT(OQ31),INDEX(StdFehler[StdFehler],4),IF(COUNTIF(OR31:OT31,$A$2)&gt;=$OQ$13,$A$3,ROUND(AVERAGE(OR31:OT31)/$RX$4,0)*$RX$4))</f>
        <v>Zu wenige Noten</v>
      </c>
      <c r="OV31" s="244" t="str">
        <f t="shared" ca="1" si="145"/>
        <v>nd</v>
      </c>
      <c r="OW31" s="244" t="str">
        <f t="shared" ca="1" si="146"/>
        <v>nd</v>
      </c>
      <c r="OX31" s="244" t="str">
        <f t="shared" ca="1" si="147"/>
        <v>nd</v>
      </c>
      <c r="OY31" s="244" t="str">
        <f t="shared" ca="1" si="148"/>
        <v>nd</v>
      </c>
      <c r="OZ31" s="244" t="str">
        <f t="shared" ca="1" si="149"/>
        <v>nd</v>
      </c>
      <c r="PA31" s="202" t="b">
        <f t="shared" ca="1" si="150"/>
        <v>0</v>
      </c>
      <c r="PB31" s="202">
        <f t="shared" ca="1" si="151"/>
        <v>1</v>
      </c>
      <c r="PC31" s="202">
        <f t="shared" ca="1" si="152"/>
        <v>0</v>
      </c>
      <c r="PD31" s="96" t="str">
        <f t="shared" ca="1" si="153"/>
        <v/>
      </c>
      <c r="PE31" s="96" t="str">
        <f t="shared" ca="1" si="154"/>
        <v/>
      </c>
      <c r="PF31" s="200">
        <f t="shared" ca="1" si="155"/>
        <v>0</v>
      </c>
      <c r="PG31" s="202" t="str">
        <f t="shared" ca="1" si="156"/>
        <v/>
      </c>
      <c r="PH31" s="200" t="str">
        <f t="shared" ca="1" si="157"/>
        <v/>
      </c>
      <c r="PI31" s="200" t="str">
        <f t="shared" ca="1" si="158"/>
        <v/>
      </c>
      <c r="PJ31" s="200" t="str">
        <f t="shared" ca="1" si="159"/>
        <v/>
      </c>
      <c r="PK31" s="242" t="str">
        <f t="shared" ca="1" si="160"/>
        <v/>
      </c>
      <c r="PL31" s="242" t="str">
        <f t="shared" ca="1" si="161"/>
        <v/>
      </c>
      <c r="PM31" s="242" t="str">
        <f t="shared" ca="1" si="162"/>
        <v/>
      </c>
      <c r="PN31" s="242" t="str">
        <f t="shared" ca="1" si="163"/>
        <v>Erste Spielsportart</v>
      </c>
      <c r="PO31" s="242" t="str">
        <f ca="1">IF(PN31=$PM$11,Stammdaten!$AY$27,IF(PR31=$A$2,TRIM(Stammdaten!$AX$25),""))</f>
        <v>nicht durchgeführt</v>
      </c>
      <c r="PP31" s="242" t="str">
        <f t="shared" ca="1" si="164"/>
        <v/>
      </c>
      <c r="PQ31" s="202" t="str">
        <f t="shared" ca="1" si="165"/>
        <v>Erste SpielsportartResultat[@Resultat]</v>
      </c>
      <c r="PR31" s="98" t="str">
        <f t="shared" ca="1" si="166"/>
        <v/>
      </c>
      <c r="PS31" s="202" t="str">
        <f t="shared" ca="1" si="167"/>
        <v/>
      </c>
      <c r="PT31" s="202" t="str">
        <f t="shared" ca="1" si="168"/>
        <v>Erste SpielsportartSkalawert[@[Skala-Wert]]</v>
      </c>
      <c r="PU31" s="98" t="str">
        <f t="shared" ca="1" si="169"/>
        <v/>
      </c>
      <c r="PV31" s="202" t="str">
        <f t="shared" ca="1" si="170"/>
        <v/>
      </c>
      <c r="PW31" s="202" t="str">
        <f t="shared" ca="1" si="171"/>
        <v/>
      </c>
      <c r="PX31" s="202" t="str">
        <f t="shared" ca="1" si="172"/>
        <v>StdDisziplinen[MaxTextSt]</v>
      </c>
      <c r="PY31" s="202" t="str">
        <f t="shared" ca="1" si="173"/>
        <v/>
      </c>
      <c r="PZ31" s="202" t="b">
        <f t="shared" ca="1" si="174"/>
        <v>0</v>
      </c>
      <c r="QA31" s="202" t="str">
        <f t="shared" ca="1" si="175"/>
        <v/>
      </c>
      <c r="QB31" s="202" t="str">
        <f t="shared" ca="1" si="32"/>
        <v/>
      </c>
      <c r="QC31" s="202" t="str">
        <f t="shared" ca="1" si="176"/>
        <v/>
      </c>
      <c r="QD31" s="202" t="str">
        <f t="shared" ca="1" si="177"/>
        <v/>
      </c>
      <c r="QE31" s="242" t="str">
        <f t="shared" ca="1" si="178"/>
        <v/>
      </c>
      <c r="QF31" s="242" t="str">
        <f t="shared" ca="1" si="179"/>
        <v/>
      </c>
      <c r="QG31" s="242" t="str">
        <f t="shared" ca="1" si="180"/>
        <v>Zweite Spielsportart</v>
      </c>
      <c r="QH31" s="242" t="str">
        <f ca="1">IF(QG31=$QF$11,Stammdaten!$AY$27,IF(QK31=$A$2,TRIM(Stammdaten!$AX$25),""))</f>
        <v>nicht durchgeführt</v>
      </c>
      <c r="QI31" s="242" t="str">
        <f t="shared" ca="1" si="181"/>
        <v/>
      </c>
      <c r="QJ31" s="202" t="str">
        <f t="shared" ca="1" si="182"/>
        <v>Zweite SpielsportartResultat[@Resultat]</v>
      </c>
      <c r="QK31" s="98" t="str">
        <f t="shared" ca="1" si="183"/>
        <v/>
      </c>
      <c r="QL31" s="202" t="str">
        <f t="shared" ca="1" si="184"/>
        <v/>
      </c>
      <c r="QM31" s="202" t="str">
        <f t="shared" ca="1" si="185"/>
        <v>Zweite SpielsportartSkalawert[@[Skala-Wert]]</v>
      </c>
      <c r="QN31" s="98" t="str">
        <f t="shared" ca="1" si="186"/>
        <v/>
      </c>
      <c r="QO31" s="202" t="str">
        <f t="shared" ca="1" si="187"/>
        <v/>
      </c>
      <c r="QP31" s="202" t="str">
        <f t="shared" ca="1" si="188"/>
        <v/>
      </c>
      <c r="QQ31" s="202" t="str">
        <f t="shared" ca="1" si="189"/>
        <v>StdDisziplinen[MaxTextSt]</v>
      </c>
      <c r="QR31" s="202" t="str">
        <f t="shared" ca="1" si="190"/>
        <v/>
      </c>
      <c r="QS31" s="202" t="b">
        <f t="shared" ca="1" si="191"/>
        <v>0</v>
      </c>
      <c r="QT31" s="242" t="str">
        <f t="shared" ca="1" si="33"/>
        <v>Dritte Spielsportart</v>
      </c>
      <c r="QU31" s="242" t="str">
        <f ca="1">IF(QT31=$QT$11,MID(Stammdaten!$AX$27,2,LEN(Stammdaten!$AX$27)),IF(QX31=$A$2,TRIM(Stammdaten!$AX$25),""))</f>
        <v>nicht durchgeführt</v>
      </c>
      <c r="QV31" s="242" t="str">
        <f t="shared" ca="1" si="34"/>
        <v/>
      </c>
      <c r="QW31" s="202" t="str">
        <f t="shared" ca="1" si="192"/>
        <v>Dritte SpielsportartResultat[@Resultat]</v>
      </c>
      <c r="QX31" s="98" t="str">
        <f t="shared" ca="1" si="193"/>
        <v/>
      </c>
      <c r="QY31" s="202" t="str">
        <f t="shared" ca="1" si="35"/>
        <v/>
      </c>
      <c r="QZ31" s="202" t="str">
        <f t="shared" ca="1" si="194"/>
        <v>Dritte SpielsportartSkalawert[@[Skala-Wert]]</v>
      </c>
      <c r="RA31" s="98" t="str">
        <f t="shared" ca="1" si="224"/>
        <v/>
      </c>
      <c r="RB31" s="202" t="str">
        <f t="shared" ca="1" si="36"/>
        <v/>
      </c>
      <c r="RC31" s="202" t="str">
        <f t="shared" ca="1" si="196"/>
        <v/>
      </c>
      <c r="RD31" s="202" t="str">
        <f t="shared" ca="1" si="197"/>
        <v>StdDisziplinen[MaxTextSt]</v>
      </c>
      <c r="RE31" s="202" t="str">
        <f t="shared" ca="1" si="37"/>
        <v/>
      </c>
      <c r="RF31" s="244">
        <f t="shared" ca="1" si="38"/>
        <v>99</v>
      </c>
      <c r="RG31" s="244">
        <f t="shared" ca="1" si="39"/>
        <v>99</v>
      </c>
      <c r="RH31" s="244">
        <f t="shared" ca="1" si="40"/>
        <v>99</v>
      </c>
      <c r="RI31" s="244">
        <f t="shared" ca="1" si="41"/>
        <v>99</v>
      </c>
      <c r="RJ31" s="244">
        <f t="shared" ca="1" si="42"/>
        <v>99</v>
      </c>
      <c r="RK31" s="244">
        <f t="shared" ca="1" si="198"/>
        <v>99</v>
      </c>
      <c r="RL31" s="244">
        <f t="shared" ca="1" si="199"/>
        <v>99</v>
      </c>
      <c r="RM31" s="244">
        <f t="shared" ca="1" si="200"/>
        <v>99</v>
      </c>
      <c r="RN31" s="244">
        <f t="shared" ca="1" si="201"/>
        <v>99</v>
      </c>
      <c r="RO31" s="244">
        <f t="shared" ca="1" si="202"/>
        <v>99</v>
      </c>
      <c r="RP31" s="202" t="str">
        <f t="shared" ca="1" si="43"/>
        <v>Zu wenige Noten</v>
      </c>
      <c r="RQ31" s="202" t="str">
        <f t="shared" ca="1" si="203"/>
        <v>Zu wenige Noten</v>
      </c>
      <c r="RR31" s="202" t="str">
        <f t="shared" ca="1" si="203"/>
        <v>Zu wenige Noten</v>
      </c>
      <c r="RS31" s="202" t="str">
        <f t="shared" ca="1" si="204"/>
        <v>Zu wenige Noten</v>
      </c>
      <c r="RT31" s="202" t="str">
        <f t="shared" ca="1" si="204"/>
        <v>Zu wenige Noten</v>
      </c>
      <c r="RU31" s="202" t="str">
        <f t="shared" ca="1" si="205"/>
        <v>Zu wenige Noten</v>
      </c>
      <c r="RV31" s="202" t="str">
        <f t="shared" ca="1" si="206"/>
        <v>Zu wenige Noten</v>
      </c>
      <c r="RW31" s="31"/>
      <c r="RX31" s="56" t="str">
        <f t="shared" ca="1" si="44"/>
        <v>Zu wenige Noten</v>
      </c>
      <c r="RY31" s="31"/>
      <c r="RZ31" s="31" t="str">
        <f t="shared" ca="1" si="45"/>
        <v>Zu wenige Noten</v>
      </c>
      <c r="SA31" s="31" t="str">
        <f t="shared" ca="1" si="46"/>
        <v>Zu wenige Noten</v>
      </c>
      <c r="SB31" s="45" t="str">
        <f t="shared" ca="1" si="47"/>
        <v>Zu wenige Noten</v>
      </c>
      <c r="SC31" s="31" t="str">
        <f t="shared" ca="1" si="207"/>
        <v>Zu wenige Noten</v>
      </c>
      <c r="SD31" s="31" t="str">
        <f t="shared" ca="1" si="208"/>
        <v>Zu wenige Noten</v>
      </c>
      <c r="SE31" s="31" t="str">
        <f t="shared" ca="1" si="48"/>
        <v>Zu wenige Noten</v>
      </c>
      <c r="SF31" s="31" t="str">
        <f t="shared" ca="1" si="209"/>
        <v>Zu wenige Noten</v>
      </c>
      <c r="SG31" s="31" t="str">
        <f t="shared" ca="1" si="48"/>
        <v>Zu wenige Noten</v>
      </c>
      <c r="SH31" s="36">
        <f t="shared" ca="1" si="210"/>
        <v>0</v>
      </c>
      <c r="SI31" s="36">
        <f t="shared" ca="1" si="211"/>
        <v>0</v>
      </c>
      <c r="SJ31" s="36">
        <f t="shared" ca="1" si="212"/>
        <v>0</v>
      </c>
      <c r="SK31" s="31">
        <f t="shared" ca="1" si="213"/>
        <v>99</v>
      </c>
      <c r="SL31" s="31">
        <f t="shared" ca="1" si="214"/>
        <v>99</v>
      </c>
      <c r="SM31" s="36" t="str">
        <f t="shared" ca="1" si="215"/>
        <v>99.0</v>
      </c>
      <c r="SN31" s="31">
        <f t="shared" ca="1" si="216"/>
        <v>99</v>
      </c>
      <c r="SO31" s="36" t="str">
        <f ca="1">IF(NOT(SJ31),INDEX(StdFehler[StdFehler],4),IF(SI31=$SJ$13,$A$3,CONCATENATE(TEXT(SK31,"#.0"),", ",TEXT(SL31,"#.0"),", ",SM31,", ",TEXT(SN31,"#.0"))))</f>
        <v>Zu wenige Noten</v>
      </c>
      <c r="SP31" s="36" t="str">
        <f t="shared" ca="1" si="49"/>
        <v>Zu wenige Noten</v>
      </c>
      <c r="SQ31" s="36" t="str">
        <f t="shared" ca="1" si="49"/>
        <v>Zu wenige Noten</v>
      </c>
      <c r="SR31" s="36" t="str">
        <f t="shared" ca="1" si="49"/>
        <v>Zu wenige Noten</v>
      </c>
      <c r="SS31" s="36" t="str">
        <f t="shared" ca="1" si="49"/>
        <v>Zu wenige Noten</v>
      </c>
      <c r="ST31" s="36" t="str">
        <f t="shared" ca="1" si="217"/>
        <v>Zu wenige Noten</v>
      </c>
      <c r="SU31" s="36"/>
      <c r="SV31" s="214" t="str">
        <f t="shared" si="218"/>
        <v>D</v>
      </c>
      <c r="SW31" s="36"/>
      <c r="SX31" s="214" t="str">
        <f t="shared" si="219"/>
        <v>D</v>
      </c>
      <c r="SY31" s="36"/>
      <c r="SZ31" s="214" t="str">
        <f t="shared" si="220"/>
        <v>D</v>
      </c>
      <c r="TA31" s="36"/>
      <c r="TB31" s="214" t="str">
        <f t="shared" si="221"/>
        <v>D</v>
      </c>
      <c r="TC31" s="31"/>
      <c r="TD31" s="36" t="str">
        <f t="shared" ca="1" si="222"/>
        <v>Zu wenige Noten</v>
      </c>
      <c r="TE31" s="31"/>
      <c r="TF31" s="193" t="str">
        <f ca="1">IF(NOT(SJ31),INDEX(StdFehler[StdFehler],4),IF(SI31=$TF$4,$A$3,ROUND(AVERAGE(RZ31:SC31)/$TF$5,0)*$TF$5))</f>
        <v>Zu wenige Noten</v>
      </c>
      <c r="TH31" s="595" t="str">
        <f>IF(OR($TH$18=Stammdaten!$AX$20,$TH$18=""),Stammdaten!$AX$20,$TH$18)</f>
        <v>Disziplin</v>
      </c>
      <c r="TI31" s="33"/>
      <c r="TJ31" s="33" t="str">
        <f>IF(OR(Geschlecht[[#This Row],[Geschlecht (Skala)]]="",TH31="",TH31=Stammdaten!$AX$20),"",REPLACE(INDEX(StdDisziplinen[TabÜberschriftResultat],TH$3),FIND("XX",INDEX(StdDisziplinen[TabÜberschriftResultat],TH$3),1),2,Geschlecht[[#This Row],[Geschlecht (Skala)]]))</f>
        <v/>
      </c>
      <c r="TK31" s="596"/>
      <c r="TM31" s="37"/>
      <c r="TN31" s="40"/>
      <c r="TO31" s="587">
        <f>IF(TO$16,IF(TP$16=0.5,MROUND(SchwimmenResultat[[#This Row],[Resultat]],TP$16),ROUND(SchwimmenResultat[[#This Row],[Resultat]],TP$16)),ROUNDDOWN(SchwimmenResultat[[#This Row],[Resultat]],TP$16))</f>
        <v>0</v>
      </c>
      <c r="TP31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1" s="153" t="str">
        <f ca="1">IF(TP31="","",IF(OR(SchwimmenResultat[[#This Row],[Resultat]]=Stammdaten!$AX$22,SchwimmenResultat[[#This Row],[Resultat]]=Stammdaten!$AX$19),Stammdaten!$AX$19,IF(ISNA(INDEX(INDIRECT(TP31),MATCH(SchwimmenGerundet[[#This Row],[Rundung]],INDIRECT(TP31),TP$18))),IF(TP$18=-1,LARGE(INDIRECT(TP31),1),SMALL(INDIRECT(TP31),1)),INDEX(INDIRECT(TP31),MATCH(SchwimmenGerundet[[#This Row],[Rundung]],INDIRECT(TP31),TP$18)))))</f>
        <v/>
      </c>
      <c r="TR31" s="33" t="str">
        <f>IF(OR(TP31="",SchwimmenResultat[[#This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1" s="33"/>
      <c r="TT31" s="36" t="str">
        <f ca="1">IF(OR(TR31="",SchwimmenSkalawert[[#This Row],[Skala-Wert]]=Stammdaten!$AX$19),"",INDEX(INDIRECT(TR31),MATCH(SchwimmenSkalawert[[#This Row],[Skala-Wert]],INDIRECT(TP31),0)))</f>
        <v/>
      </c>
      <c r="TU31" s="36"/>
      <c r="TV31" s="190" t="str">
        <f>IF(ZwölfMinLaufHalleResultat[[#This Row],[Resultat]]=0,"",ZwölfMinLaufHalleResultat[[#This Row],[Resultat]])</f>
        <v/>
      </c>
      <c r="TW31" s="190"/>
      <c r="TX31" s="31" t="str">
        <f ca="1">ZwölfMinLaufHalleSkalawert[[#This Row],[Skala-Wert]]</f>
        <v/>
      </c>
      <c r="TZ31" s="31" t="str">
        <f ca="1">ZwölfMinLaufHalleNote[[#This Row],[Note]]</f>
        <v/>
      </c>
      <c r="UA31" s="31"/>
      <c r="UB31" s="190" t="str">
        <f>IF(ZwölfMinLaufimFreienResultat[[#This Row],[Resultat]]=0,"",ZwölfMinLaufimFreienResultat[[#This Row],[Resultat]])</f>
        <v/>
      </c>
      <c r="UC31" s="190"/>
      <c r="UD31" s="192" t="str">
        <f ca="1">ZwölfMinLaufimFreienSkalawert[[#This Row],[Skala-Wert]]</f>
        <v/>
      </c>
      <c r="UF31" s="31" t="str">
        <f ca="1">ZwölfMinLaufimFreienNote[[#This Row],[Note]]</f>
        <v/>
      </c>
      <c r="UG31" s="31"/>
      <c r="UH31" s="597"/>
      <c r="UI31" s="190"/>
      <c r="UJ31" s="587">
        <f>IF(UJ$16,IF(UK$16=0.5,MROUND(BeweglichkeitResultat[[#This Row],[Resultat]],UK$16),ROUND(BeweglichkeitResultat[[#This Row],[Resultat]],UK$16)),ROUNDDOWN(BeweglichkeitResultat[[#This Row],[Resultat]],UK$16))</f>
        <v>0</v>
      </c>
      <c r="UK31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1" s="192" t="str">
        <f ca="1">IF(UK31="","",IF(OR(BeweglichkeitResultat[[#This Row],[Resultat]]=Stammdaten!$AX$22,BeweglichkeitResultat[[#This Row],[Resultat]]=Stammdaten!$AX$19),Stammdaten!$AX$19,IF(ISNA(INDEX(INDIRECT(UK31),MATCH(BeweglichkeitGerundet[[#This Row],[Rundung]],INDIRECT(UK31),UK$18))),IF(UK$18=-1,LARGE(INDIRECT(UK31),1),SMALL(INDIRECT(UK31),1)),INDEX(INDIRECT(UK31),MATCH(BeweglichkeitGerundet[[#This Row],[Rundung]],INDIRECT(UK31),UK$18)))))</f>
        <v/>
      </c>
      <c r="UN31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1" s="36" t="str">
        <f ca="1">IF(OR(UK31="",BeweglichkeitSkalawert[[#This Row],[Skala-Wert]]=Stammdaten!$AX$19),"",INDEX(INDIRECT(UN31),MATCH(BeweglichkeitSkalawert[[#This Row],[Skala-Wert]],INDIRECT(UK31),0)))</f>
        <v/>
      </c>
      <c r="UP31" s="31"/>
      <c r="UQ31" s="597"/>
      <c r="UR31" s="190"/>
      <c r="US31" s="587">
        <f>IF(US$16,IF(UT$16=0.5,MROUND(RumpfkraftResultat[[#This Row],[Resultat]],UT$16),ROUND(RumpfkraftResultat[[#This Row],[Resultat]],UT$16)),ROUNDDOWN(RumpfkraftResultat[[#This Row],[Resultat]],UT$16))</f>
        <v>0</v>
      </c>
      <c r="UT31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1" s="192" t="str">
        <f ca="1">IF(UT31="","",IF(OR(RumpfkraftResultat[[#This Row],[Resultat]]=Stammdaten!$AX$22,RumpfkraftResultat[[#This Row],[Resultat]]=Stammdaten!$AX$19),Stammdaten!$AX$19,IF(ISNA(INDEX(INDIRECT(UT31),MATCH(RumpfkraftGerundet[[#This Row],[Rundung]],INDIRECT(UT31),UT$18))),IF(UT$18=-1,LARGE(INDIRECT(UT31),1),SMALL(INDIRECT(UT31),1)),INDEX(INDIRECT(UT31),MATCH(RumpfkraftGerundet[[#This Row],[Rundung]],INDIRECT(UT31),UT$18)))))</f>
        <v/>
      </c>
      <c r="UW31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1" s="36" t="str">
        <f ca="1">IF(OR(UT31="",RumpfkraftSkalawert[[#This Row],[Skala-Wert]]=Stammdaten!$AX$19),"",INDEX(INDIRECT(UW31),MATCH(RumpfkraftSkalawert[[#This Row],[Skala-Wert]],INDIRECT(UT31),0)))</f>
        <v/>
      </c>
      <c r="UY31" s="31"/>
      <c r="UZ31" s="190" t="str">
        <f>IF(SechzigmLaufResultat[[#This Row],[Resultat]]=0,"",SechzigmLaufResultat[[#This Row],[Resultat]])</f>
        <v/>
      </c>
      <c r="VA31" s="190"/>
      <c r="VB31" s="45" t="str">
        <f ca="1">SechzigmLaufSkalawert[[#This Row],[Skala-Wert]]</f>
        <v/>
      </c>
      <c r="VD31" s="31" t="str">
        <f ca="1">SechzigmLaufNote[[#This Row],[Note]]</f>
        <v/>
      </c>
      <c r="VE31" s="31"/>
      <c r="VF31" s="190" t="str">
        <f>IF(AchtzigmLaufResultat[[#This Row],[Resultat]]=0,"",AchtzigmLaufResultat[[#This Row],[Resultat]])</f>
        <v/>
      </c>
      <c r="VG31" s="190"/>
      <c r="VH31" s="45" t="str">
        <f ca="1">AchtzigmLaufSkalawert[[#This Row],[Skala-Wert]]</f>
        <v/>
      </c>
      <c r="VJ31" s="31" t="str">
        <f ca="1">AchtzigmLaufNote[[#This Row],[Note]]</f>
        <v/>
      </c>
      <c r="VK31" s="31"/>
      <c r="VL31" s="37"/>
      <c r="VM31" s="190"/>
      <c r="VN31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1" s="191" t="str">
        <f>IF(OR(Geschlecht[[#This Row],[Geschlecht (Skala)]]="",VL$16=""),"",MID(Geschlecht[[#This Row],[Geschlecht (Skala)]],1,1)&amp;MID(VL$16,1,1))</f>
        <v/>
      </c>
      <c r="VP31" s="190" t="str">
        <f>IF(OR(VO31="",KonditionsparcoursResultat[[#This Row],[Resultat]]=""),"",REPLACE(INDEX(StdDisziplinen[TabÜberschriftResultat],VL$3),FIND("X",INDEX(StdDisziplinen[TabÜberschriftResultat],VL$3),1),2,VO31))</f>
        <v/>
      </c>
      <c r="VQ31" s="192" t="str">
        <f ca="1">IF(VP31="","",IF(OR(KonditionsparcoursResultat[[#This Row],[Resultat]]=Stammdaten!$AX$22,KonditionsparcoursResultat[[#This Row],[Resultat]]=Stammdaten!$AX$19),Stammdaten!$AX$19,IF(ISNA(INDEX(INDIRECT(VP31),MATCH(KonditionsparcoursGerundet[[#This Row],[Rundung]],INDIRECT(VP31),VP$18))),IF(VP$18=-1,LARGE(INDIRECT(VP31),1),SMALL(INDIRECT(VP31),1)),INDEX(INDIRECT(VP31),MATCH(KonditionsparcoursGerundet[[#This Row],[Rundung]],INDIRECT(VP31),VP$18)))))</f>
        <v/>
      </c>
      <c r="VS31" s="18" t="str">
        <f ca="1">IF(KonditionsparcoursSkalawert[[#This Row],[Skala-Wert]]="","",REPLACE(INDEX(StdDisziplinen[TabÜberschriftNote],VL$3),FIND("X",INDEX(StdDisziplinen[TabÜberschriftNote],VL$3),1),2,VO31))</f>
        <v/>
      </c>
      <c r="VT31" s="31" t="str">
        <f ca="1">IF(OR(VS31="",KonditionsparcoursSkalawert[[#This Row],[Skala-Wert]]=Stammdaten!$AX$19),"",INDEX(INDIRECT(VS31),MATCH(KonditionsparcoursSkalawert[[#This Row],[Skala-Wert]],INDIRECT(VP31),0)))</f>
        <v/>
      </c>
      <c r="VU31" s="22"/>
    </row>
    <row r="32" spans="1:593" x14ac:dyDescent="0.3">
      <c r="A32" s="30">
        <v>14</v>
      </c>
      <c r="B32" s="589"/>
      <c r="C32" s="589"/>
      <c r="E32" s="591"/>
      <c r="G32" s="37"/>
      <c r="H32" s="190"/>
      <c r="I32" s="154">
        <f>IF(I$16,IF(J$16=0.5,MROUND(SechzigmLaufResultat[[#This Row],[Resultat]],J$16),ROUND(SechzigmLaufResultat[[#This Row],[Resultat]],J$16)),ROUNDDOWN(SechzigmLaufResultat[[#This Row],[Resultat]],J$16))</f>
        <v>0</v>
      </c>
      <c r="J32" s="191" t="str">
        <f>IF(OR(Geschlecht[[#This Row],[Geschlecht (Skala)]]="",G$16=""),"",MID(Geschlecht[[#This Row],[Geschlecht (Skala)]],1,1)&amp;MID(G$16,1,1))</f>
        <v/>
      </c>
      <c r="K32" s="190" t="str">
        <f>IF(OR(J32="",SechzigmLaufResultat[[#This Row],[Resultat]]=""),"",REPLACE(INDEX(StdDisziplinen[TabÜberschriftResultat],G$3),FIND("X",INDEX(StdDisziplinen[TabÜberschriftResultat],G$3),1),2,J32))</f>
        <v/>
      </c>
      <c r="L32" s="45" t="str">
        <f ca="1">IF(K32="","",IF(OR(SechzigmLaufResultat[[#This Row],[Resultat]]=Stammdaten!$AX$22,SechzigmLaufResultat[[#This Row],[Resultat]]=Stammdaten!$AX$19),Stammdaten!$AX$19,IF(ISNA(INDEX(INDIRECT(K32),MATCH(SechzigmLaufGerundet[[#This Row],[Rundung]],INDIRECT(K32),K$18))),IF(K$18=-1,LARGE(INDIRECT(K32),1),SMALL(INDIRECT(K32),1)),INDEX(INDIRECT(K32),MATCH(SechzigmLaufGerundet[[#This Row],[Rundung]],INDIRECT(K32),K$18)))))</f>
        <v/>
      </c>
      <c r="N32" s="18" t="str">
        <f ca="1">IF(SechzigmLaufSkalawert[[#This Row],[Skala-Wert]]="","",REPLACE(INDEX(StdDisziplinen[TabÜberschriftNote],G$3),FIND("X",INDEX(StdDisziplinen[TabÜberschriftNote],G$3),1),2,J32))</f>
        <v/>
      </c>
      <c r="O32" s="31" t="str">
        <f ca="1">IF(OR(N32="",SechzigmLaufSkalawert[[#This Row],[Skala-Wert]]=Stammdaten!$AX$19),"",INDEX(INDIRECT(N32),MATCH(SechzigmLaufSkalawert[[#This Row],[Skala-Wert]],INDIRECT(K32),0)))</f>
        <v/>
      </c>
      <c r="P32" s="31"/>
      <c r="Q32" s="37"/>
      <c r="R32" s="190"/>
      <c r="S32" s="154">
        <f>IF(S$16,IF(T$16=0.5,MROUND(AchtzigmLaufResultat[[#This Row],[Resultat]],T$16),ROUND(AchtzigmLaufResultat[[#This Row],[Resultat]],T$16)),ROUNDDOWN(AchtzigmLaufResultat[[#This Row],[Resultat]],T$16))</f>
        <v>0</v>
      </c>
      <c r="T32" s="191" t="str">
        <f>IF(OR(Geschlecht[[#This Row],[Geschlecht (Skala)]]="",Q$16=""),"",MID(Geschlecht[[#This Row],[Geschlecht (Skala)]],1,1)&amp;MID(Q$16,1,1))</f>
        <v/>
      </c>
      <c r="U32" s="190" t="str">
        <f>IF(OR(T32="",AchtzigmLaufResultat[[#This Row],[Resultat]]=""),"",REPLACE(INDEX(StdDisziplinen[TabÜberschriftResultat],Q$3),FIND("X",INDEX(StdDisziplinen[TabÜberschriftResultat],Q$3),1),2,T32))</f>
        <v/>
      </c>
      <c r="V32" s="45" t="str">
        <f ca="1">IF(U32="","",IF(OR(AchtzigmLaufResultat[[#This Row],[Resultat]]=Stammdaten!$AX$22,AchtzigmLaufResultat[[#This Row],[Resultat]]=Stammdaten!$AX$19),Stammdaten!$AX$19,IF(ISNA(INDEX(INDIRECT(U32),MATCH(AchtzigmLaufGerundet[[#This Row],[Rundung]],INDIRECT(U32),U$18))),IF(U$18=-1,LARGE(INDIRECT(U32),1),SMALL(INDIRECT(U32),1)),INDEX(INDIRECT(U32),MATCH(AchtzigmLaufGerundet[[#This Row],[Rundung]],INDIRECT(U32),U$18)))))</f>
        <v/>
      </c>
      <c r="X32" s="18" t="str">
        <f ca="1">IF(AchtzigmLaufSkalawert[[#This Row],[Skala-Wert]]="","",REPLACE(INDEX(StdDisziplinen[TabÜberschriftNote],Q$3),FIND("X",INDEX(StdDisziplinen[TabÜberschriftNote],Q$3),1),2,T32))</f>
        <v/>
      </c>
      <c r="Y32" s="31" t="str">
        <f ca="1">IF(OR(X32="",AchtzigmLaufSkalawert[[#This Row],[Skala-Wert]]=Stammdaten!$AX$19),"",INDEX(INDIRECT(X32),MATCH(AchtzigmLaufSkalawert[[#This Row],[Skala-Wert]],INDIRECT(U32),0)))</f>
        <v/>
      </c>
      <c r="Z32" s="31"/>
      <c r="AA32" s="37"/>
      <c r="AB32" s="190"/>
      <c r="AC32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2" s="191" t="str">
        <f>IF(OR(Geschlecht[[#This Row],[Geschlecht (Skala)]]="",AA$16=""),"",MID(Geschlecht[[#This Row],[Geschlecht (Skala)]],1,1)&amp;MID(AA$16,1,1))</f>
        <v/>
      </c>
      <c r="AE32" s="190" t="str">
        <f>IF(OR(AD32="",ZwölfMinLaufHalleResultat[[#This Row],[Resultat]]=""),"",REPLACE(INDEX(StdDisziplinen[TabÜberschriftResultat],AA$3),FIND("X",INDEX(StdDisziplinen[TabÜberschriftResultat],AA$3),1),2,AD32))</f>
        <v/>
      </c>
      <c r="AF32" s="31" t="str">
        <f ca="1">IF(AE32="","",IF(OR(ZwölfMinLaufHalleResultat[[#This Row],[Resultat]]=Stammdaten!$AX$22,ZwölfMinLaufHalleResultat[[#This Row],[Resultat]]=Stammdaten!$AX$19),Stammdaten!$AX$19,IF(ISNA(INDEX(INDIRECT(AE32),MATCH(ZwölfMinLaufHalleGerundet[[#This Row],[Rundung]],INDIRECT(AE32),AE$18))),IF(AE$18=-1,LARGE(INDIRECT(AE32),1),SMALL(INDIRECT(AE32),1)),INDEX(INDIRECT(AE32),MATCH(ZwölfMinLaufHalleGerundet[[#This Row],[Rundung]],INDIRECT(AE32),AE$18)))))</f>
        <v/>
      </c>
      <c r="AH32" s="18" t="str">
        <f ca="1">IF(ZwölfMinLaufHalleSkalawert[[#This Row],[Skala-Wert]]="","",REPLACE(INDEX(StdDisziplinen[TabÜberschriftNote],AA$3),FIND("X",INDEX(StdDisziplinen[TabÜberschriftNote],AA$3),1),2,AD32))</f>
        <v/>
      </c>
      <c r="AI32" s="31" t="str">
        <f ca="1">IF(OR(AH32="",ZwölfMinLaufHalleSkalawert[[#This Row],[Skala-Wert]]=Stammdaten!$AX$19),"",INDEX(INDIRECT(AH32),MATCH(ZwölfMinLaufHalleSkalawert[[#This Row],[Skala-Wert]],INDIRECT(AE32),0)))</f>
        <v/>
      </c>
      <c r="AJ32" s="31"/>
      <c r="AK32" s="597"/>
      <c r="AL32" s="190"/>
      <c r="AM32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2" s="191" t="str">
        <f>IF(OR(Geschlecht[[#This Row],[Geschlecht (Skala)]]="",AK$16=""),"",MID(Geschlecht[[#This Row],[Geschlecht (Skala)]],1,1)&amp;MID(AK$16,1,1))</f>
        <v/>
      </c>
      <c r="AO32" s="190" t="str">
        <f>IF(OR(AN32="",ZwölfMinLaufimFreienResultat[[#This Row],[Resultat]]=""),"",REPLACE(INDEX(StdDisziplinen[TabÜberschriftResultat],AK$3),FIND("X",INDEX(StdDisziplinen[TabÜberschriftResultat],AK$3),1),2,AN32))</f>
        <v/>
      </c>
      <c r="AP32" s="192" t="str">
        <f ca="1">IF(AO32="","",IF(OR(ZwölfMinLaufimFreienResultat[[#This Row],[Resultat]]=Stammdaten!$AX$22,ZwölfMinLaufimFreienResultat[[#This Row],[Resultat]]=Stammdaten!$AX$19),Stammdaten!$AX$19,IF(ISNA(INDEX(INDIRECT(AO32),MATCH(ZwölfMinLaufimFreienGerundet[[#This Row],[Rundung]],INDIRECT(AO32),AO$18))),IF(AO$18=-1,LARGE(INDIRECT(AO32),1),SMALL(INDIRECT(AO32),1)),INDEX(INDIRECT(AO32),MATCH(ZwölfMinLaufimFreienGerundet[[#This Row],[Rundung]],INDIRECT(AO32),AO$18)))))</f>
        <v/>
      </c>
      <c r="AR32" s="18" t="str">
        <f ca="1">IF(ZwölfMinLaufimFreienSkalawert[[#This Row],[Skala-Wert]]="","",REPLACE(INDEX(StdDisziplinen[TabÜberschriftNote],AK$3),FIND("X",INDEX(StdDisziplinen[TabÜberschriftNote],AK$3),1),2,AN32))</f>
        <v/>
      </c>
      <c r="AS32" s="31" t="str">
        <f ca="1">IF(OR(AR32="",ZwölfMinLaufimFreienSkalawert[[#This Row],[Skala-Wert]]=Stammdaten!$AX$19),"",INDEX(INDIRECT(AR32),MATCH(ZwölfMinLaufimFreienSkalawert[[#This Row],[Skala-Wert]],INDIRECT(AO32),0)))</f>
        <v/>
      </c>
      <c r="AT32" s="31"/>
      <c r="AU32" s="597"/>
      <c r="AV32" s="190"/>
      <c r="AW32" s="587">
        <f>IF(AW$16,IF(AX$16=0.5,MROUND(HochsprungResultat[[#This Row],[Resultat]],AX$16),ROUND(HochsprungResultat[[#This Row],[Resultat]],AX$16)),ROUNDDOWN(HochsprungResultat[[#This Row],[Resultat]],AX$16))</f>
        <v>0</v>
      </c>
      <c r="AX32" s="191" t="str">
        <f>IF(OR(Geschlecht[[#This Row],[Geschlecht (Skala)]]="",AU$16=""),"",MID(Geschlecht[[#This Row],[Geschlecht (Skala)]],1,1)&amp;MID(AU$16,1,1))</f>
        <v/>
      </c>
      <c r="AY32" s="190" t="str">
        <f>IF(OR(AX32="",HochsprungResultat[[#This Row],[Resultat]]=""),"",REPLACE(INDEX(StdDisziplinen[TabÜberschriftResultat],AU$3),FIND("X",INDEX(StdDisziplinen[TabÜberschriftResultat],AU$3),1),2,AX32))</f>
        <v/>
      </c>
      <c r="AZ32" s="192" t="str">
        <f ca="1">IF(AY32="","",IF(OR(HochsprungResultat[[#This Row],[Resultat]]=Stammdaten!$AX$22,HochsprungResultat[[#This Row],[Resultat]]=Stammdaten!$AX$19),Stammdaten!$AX$19,IF(ISNA(INDEX(INDIRECT(AY32),MATCH(HochsprungGerundet[[#This Row],[Rundung]],INDIRECT(AY32),AY$18))),IF(AY$18=-1,LARGE(INDIRECT(AY32),1),SMALL(INDIRECT(AY32),1)),INDEX(INDIRECT(AY32),MATCH(HochsprungGerundet[[#This Row],[Rundung]],INDIRECT(AY32),AY$18)))))</f>
        <v/>
      </c>
      <c r="BB32" s="18" t="str">
        <f ca="1">IF(HochsprungSkalawert[[#This Row],[Skala-Wert]]="","",REPLACE(INDEX(StdDisziplinen[TabÜberschriftNote],AU$3),FIND("X",INDEX(StdDisziplinen[TabÜberschriftNote],AU$3),1),2,AX32))</f>
        <v/>
      </c>
      <c r="BC32" s="31" t="str">
        <f ca="1">IF(OR(BB32="",HochsprungSkalawert[[#This Row],[Skala-Wert]]=Stammdaten!$AX$19),"",INDEX(INDIRECT(BB32),MATCH(HochsprungSkalawert[[#This Row],[Skala-Wert]],INDIRECT(AY32),0)))</f>
        <v/>
      </c>
      <c r="BD32" s="31"/>
      <c r="BE32" s="597"/>
      <c r="BF32" s="190"/>
      <c r="BG32" s="587">
        <f>IF(BG$16,IF(BH$16=0.5,MROUND(WeitsprungResultat[[#This Row],[Resultat]],BH$16),ROUND(WeitsprungResultat[[#This Row],[Resultat]],BH$16)),ROUNDDOWN(WeitsprungResultat[[#This Row],[Resultat]],BH$16))</f>
        <v>0</v>
      </c>
      <c r="BH32" s="191" t="str">
        <f>IF(OR(Geschlecht[[#This Row],[Geschlecht (Skala)]]="",BE$16=""),"",MID(Geschlecht[[#This Row],[Geschlecht (Skala)]],1,1)&amp;MID(BE$16,1,1))</f>
        <v/>
      </c>
      <c r="BI32" s="190" t="str">
        <f>IF(OR(BH32="",WeitsprungResultat[[#This Row],[Resultat]]=""),"",REPLACE(INDEX(StdDisziplinen[TabÜberschriftResultat],BE$3),FIND("X",INDEX(StdDisziplinen[TabÜberschriftResultat],BE$3),1),2,BH32))</f>
        <v/>
      </c>
      <c r="BJ32" s="192" t="str">
        <f ca="1">IF(BI32="","",IF(OR(WeitsprungResultat[[#This Row],[Resultat]]=Stammdaten!$AX$22,WeitsprungResultat[[#This Row],[Resultat]]=Stammdaten!$AX$19),Stammdaten!$AX$19,IF(ISNA(INDEX(INDIRECT(BI32),MATCH(WeitsprungGerundet[[#This Row],[Rundung]],INDIRECT(BI32),BI$18))),IF(BI$18=-1,LARGE(INDIRECT(BI32),1),SMALL(INDIRECT(BI32),1)),INDEX(INDIRECT(BI32),MATCH(WeitsprungGerundet[[#This Row],[Rundung]],INDIRECT(BI32),BI$18)))))</f>
        <v/>
      </c>
      <c r="BL32" s="18" t="str">
        <f ca="1">IF(WeitsprungSkalawert[[#This Row],[Skala-Wert]]="","",REPLACE(INDEX(StdDisziplinen[TabÜberschriftNote],BE$3),FIND("X",INDEX(StdDisziplinen[TabÜberschriftNote],BE$3),1),2,BH32))</f>
        <v/>
      </c>
      <c r="BM32" s="31" t="str">
        <f ca="1">IF(OR(BL32="",WeitsprungSkalawert[[#This Row],[Skala-Wert]]=Stammdaten!$AX$19),"",INDEX(INDIRECT(BL32),MATCH(WeitsprungSkalawert[[#This Row],[Skala-Wert]],INDIRECT(BI32),0)))</f>
        <v/>
      </c>
      <c r="BN32" s="31"/>
      <c r="BO32" s="37"/>
      <c r="BP32" s="190"/>
      <c r="BQ32" s="154">
        <f>IF(BQ$16,IF(BR$16=0.5,MROUND(BallwurfResultat[[#This Row],[Resultat]],BR$16),ROUND(BallwurfResultat[[#This Row],[Resultat]],BR$16)),ROUNDDOWN(BallwurfResultat[[#This Row],[Resultat]],BR$16))</f>
        <v>0</v>
      </c>
      <c r="BR32" s="191" t="str">
        <f>IF(OR(Geschlecht[[#This Row],[Geschlecht (Skala)]]="",BO$16=""),"",MID(Geschlecht[[#This Row],[Geschlecht (Skala)]],1,1)&amp;MID(BO$16,1,1))</f>
        <v/>
      </c>
      <c r="BS32" s="190" t="str">
        <f>IF(OR(BR32="",BallwurfResultat[[#This Row],[Resultat]]=""),"",REPLACE(INDEX(StdDisziplinen[TabÜberschriftResultat],BO$3),FIND("X",INDEX(StdDisziplinen[TabÜberschriftResultat],BO$3),1),2,BR32))</f>
        <v/>
      </c>
      <c r="BT32" s="45" t="str">
        <f ca="1">IF(BS32="","",IF(OR(BallwurfResultat[[#This Row],[Resultat]]=Stammdaten!$AX$22,BallwurfResultat[[#This Row],[Resultat]]=Stammdaten!$AX$19),Stammdaten!$AX$19,IF(ISNA(INDEX(INDIRECT(BS32),MATCH(BallwurfGerundet[[#This Row],[Rundung]],INDIRECT(BS32),BS$18))),IF(BS$18=-1,LARGE(INDIRECT(BS32),1),SMALL(INDIRECT(BS32),1)),INDEX(INDIRECT(BS32),MATCH(BallwurfGerundet[[#This Row],[Rundung]],INDIRECT(BS32),BS$18)))))</f>
        <v/>
      </c>
      <c r="BV32" s="18" t="str">
        <f ca="1">IF(BallwurfSkalawert[[#This Row],[Skala-Wert]]="","",REPLACE(INDEX(StdDisziplinen[TabÜberschriftNote],BO$3),FIND("X",INDEX(StdDisziplinen[TabÜberschriftNote],BO$3),1),2,BR32))</f>
        <v/>
      </c>
      <c r="BW32" s="31" t="str">
        <f ca="1">IF(OR(BV32="",BallwurfSkalawert[[#This Row],[Skala-Wert]]=Stammdaten!$AX$19),"",INDEX(INDIRECT(BV32),MATCH(BallwurfSkalawert[[#This Row],[Skala-Wert]],INDIRECT(BS32),0)))</f>
        <v/>
      </c>
      <c r="BX32" s="31"/>
      <c r="BY32" s="598"/>
      <c r="BZ32" s="190"/>
      <c r="CA32" s="154">
        <f>IF(CA$16,IF(CB$16=0.5,MROUND(KugelstossenResultat[[#This Row],[Resultat]],CB$16),ROUND(KugelstossenResultat[[#This Row],[Resultat]],CB$16)),ROUNDDOWN(KugelstossenResultat[[#This Row],[Resultat]],CB$16))</f>
        <v>0</v>
      </c>
      <c r="CB32" s="191" t="str">
        <f>IF(OR(Geschlecht[[#This Row],[Geschlecht (Skala)]]="",BY$16=""),"",MID(Geschlecht[[#This Row],[Geschlecht (Skala)]],1,1)&amp;MID(BY$16,1,1))</f>
        <v/>
      </c>
      <c r="CC32" s="190" t="str">
        <f>IF(OR(CB32="",KugelstossenResultat[[#This Row],[Resultat]]=""),"",REPLACE(INDEX(StdDisziplinen[TabÜberschriftResultat],BY$3),FIND("X",INDEX(StdDisziplinen[TabÜberschriftResultat],BY$3),1),2,CB32))</f>
        <v/>
      </c>
      <c r="CD32" s="45" t="str">
        <f ca="1">IF(CC32="","",IF(OR(KugelstossenResultat[[#This Row],[Resultat]]=Stammdaten!$AX$22,KugelstossenResultat[[#This Row],[Resultat]]=Stammdaten!$AX$19),Stammdaten!$AX$19,IF(ISNA(INDEX(INDIRECT(CC32),MATCH(KugelstossenGerundet[[#This Row],[Rundung]],INDIRECT(CC32),CC$18))),IF(CC$18=-1,LARGE(INDIRECT(CC32),1),SMALL(INDIRECT(CC32),1)),INDEX(INDIRECT(CC32),MATCH(KugelstossenGerundet[[#This Row],[Rundung]],INDIRECT(CC32),CC$18)))))</f>
        <v/>
      </c>
      <c r="CF32" s="18" t="str">
        <f ca="1">IF(KugelstossenSkalawert[[#This Row],[Skala-Wert]]="","",REPLACE(INDEX(StdDisziplinen[TabÜberschriftNote],BY$3),FIND("X",INDEX(StdDisziplinen[TabÜberschriftNote],BY$3),1),2,CB32))</f>
        <v/>
      </c>
      <c r="CG32" s="31" t="str">
        <f ca="1">IF(OR(CF32="",KugelstossenSkalawert[[#This Row],[Skala-Wert]]=Stammdaten!$AX$19),"",INDEX(INDIRECT(CF32),MATCH(KugelstossenSkalawert[[#This Row],[Skala-Wert]],INDIRECT(CC32),0)))</f>
        <v/>
      </c>
      <c r="CH32" s="31"/>
      <c r="CI32" s="37"/>
      <c r="CJ32" s="190"/>
      <c r="CK32" s="154">
        <f>IF(CK$16,IF(CL$16=0.5,MROUND(SpeerwurfResultat[[#This Row],[Resultat]],CL$16),ROUND(SpeerwurfResultat[[#This Row],[Resultat]],CL$16)),ROUNDDOWN(SpeerwurfResultat[[#This Row],[Resultat]],CL$16))</f>
        <v>0</v>
      </c>
      <c r="CL32" s="191" t="str">
        <f>IF(OR(Geschlecht[[#This Row],[Geschlecht (Skala)]]="",CI$16=""),"",MID(Geschlecht[[#This Row],[Geschlecht (Skala)]],1,1)&amp;MID(CI$16,1,1))</f>
        <v/>
      </c>
      <c r="CM32" s="190" t="str">
        <f>IF(OR(CL32="",SpeerwurfResultat[[#This Row],[Resultat]]=""),"",REPLACE(INDEX(StdDisziplinen[TabÜberschriftResultat],CI$3),FIND("X",INDEX(StdDisziplinen[TabÜberschriftResultat],CI$3),1),2,CL32))</f>
        <v/>
      </c>
      <c r="CN32" s="45" t="str">
        <f ca="1">IF(CM32="","",IF(OR(SpeerwurfResultat[[#This Row],[Resultat]]=Stammdaten!$AX$22,SpeerwurfResultat[[#This Row],[Resultat]]=Stammdaten!$AX$19),Stammdaten!$AX$19,IF(ISNA(INDEX(INDIRECT(CM32),MATCH(SpeerwurfGerundet[[#This Row],[Rundung]],INDIRECT(CM32),CM$18))),IF(CM$18=-1,LARGE(INDIRECT(CM32),1),SMALL(INDIRECT(CM32),1)),INDEX(INDIRECT(CM32),MATCH(SpeerwurfGerundet[[#This Row],[Rundung]],INDIRECT(CM32),CM$18)))))</f>
        <v/>
      </c>
      <c r="CP32" s="18" t="str">
        <f ca="1">IF(SpeerwurfSkalawert[[#This Row],[Skala-Wert]]="","",REPLACE(INDEX(StdDisziplinen[TabÜberschriftNote],CI$3),FIND("X",INDEX(StdDisziplinen[TabÜberschriftNote],CI$3),1),2,CL32))</f>
        <v/>
      </c>
      <c r="CQ32" s="31" t="str">
        <f ca="1">IF(OR(CP32="",SpeerwurfSkalawert[[#This Row],[Skala-Wert]]=Stammdaten!$AX$19),"",INDEX(INDIRECT(CP32),MATCH(SpeerwurfSkalawert[[#This Row],[Skala-Wert]],INDIRECT(CM32),0)))</f>
        <v/>
      </c>
      <c r="CR32" s="31"/>
      <c r="CS32" s="31" t="str">
        <f t="shared" ca="1" si="50"/>
        <v/>
      </c>
      <c r="CT32" s="31" t="str">
        <f t="shared" ca="1" si="50"/>
        <v/>
      </c>
      <c r="CU32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Row],[Skala-Wert]])&gt;0,MAX(CS32:CT32),99))</f>
        <v>Keine Note</v>
      </c>
      <c r="CV32" s="202" t="str">
        <f t="shared" ca="1" si="51"/>
        <v/>
      </c>
      <c r="CW32" s="202" t="str">
        <f ca="1">IF(CV32=$A$2,CS$10&amp;Stammdaten!$AX$25,IF(CU32=INDEX(StdFehler[],3),CS$10&amp;Stammdaten!$AX$27,INDEX(INDIRECT($B$4),MATCH(CV32,INDIRECT($B$5),0))))</f>
        <v>Sprintdisziplinen nicht durchgeführt</v>
      </c>
      <c r="CX32" s="202" t="str">
        <f ca="1">IFERROR(INDEX(INDIRECT(CX$12),MATCH(CV32,StdDisziplinen[ID],0)),"")</f>
        <v/>
      </c>
      <c r="CY32" s="202" t="e">
        <f t="shared" ca="1" si="52"/>
        <v>#N/A</v>
      </c>
      <c r="CZ32" s="202" t="e">
        <f t="shared" ca="1" si="53"/>
        <v>#N/A</v>
      </c>
      <c r="DA32" s="98" t="str">
        <f t="shared" ca="1" si="223"/>
        <v/>
      </c>
      <c r="DB32" s="202" t="e">
        <f t="shared" ca="1" si="54"/>
        <v>#N/A</v>
      </c>
      <c r="DC32" s="202" t="str">
        <f t="shared" ca="1" si="55"/>
        <v/>
      </c>
      <c r="DD32" s="31" t="str">
        <f t="shared" ca="1" si="56"/>
        <v/>
      </c>
      <c r="DE32" s="31" t="str">
        <f t="shared" ca="1" si="56"/>
        <v/>
      </c>
      <c r="DF32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Row],[Skala-Wert]])&gt;0,MAX(DD32:DE32),99))</f>
        <v>Keine Note</v>
      </c>
      <c r="DG32" s="202" t="str">
        <f t="shared" ca="1" si="57"/>
        <v/>
      </c>
      <c r="DH32" s="202" t="str">
        <f ca="1">IF(DG32=$A$2,DD$10&amp;Stammdaten!$AX$25,IF(DF32=INDEX(StdFehler[],3),DD$10&amp;Stammdaten!$AX$27,INDEX(INDIRECT($B$4),MATCH(DG32,INDIRECT($B$5),0))))</f>
        <v>Ausdauerdisziplinen nicht durchgeführt</v>
      </c>
      <c r="DI32" s="202" t="str">
        <f ca="1">IFERROR(INDEX(INDIRECT(DI$12),MATCH(DG32,StdDisziplinen[ID],0)),"")</f>
        <v/>
      </c>
      <c r="DJ32" s="202" t="e">
        <f t="shared" ca="1" si="58"/>
        <v>#N/A</v>
      </c>
      <c r="DK32" s="202" t="e">
        <f t="shared" ca="1" si="59"/>
        <v>#N/A</v>
      </c>
      <c r="DL32" s="96" t="str">
        <f t="shared" ca="1" si="60"/>
        <v/>
      </c>
      <c r="DM32" s="202" t="e">
        <f t="shared" ca="1" si="61"/>
        <v>#N/A</v>
      </c>
      <c r="DN32" s="202" t="str">
        <f t="shared" ca="1" si="62"/>
        <v/>
      </c>
      <c r="DO32" s="31" t="str">
        <f t="shared" ca="1" si="63"/>
        <v/>
      </c>
      <c r="DP32" s="31" t="str">
        <f t="shared" ca="1" si="63"/>
        <v/>
      </c>
      <c r="DQ32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Row],[Skala-Wert]])&gt;0,MAX(DO32:DP32),99))</f>
        <v>Keine Note</v>
      </c>
      <c r="DR32" s="202" t="str">
        <f t="shared" ca="1" si="64"/>
        <v/>
      </c>
      <c r="DS32" s="202" t="str">
        <f ca="1">IF(DR32=$A$2,DO$10&amp;Stammdaten!$AX$25,IF(DQ32=INDEX(StdFehler[],3),DO$10&amp;Stammdaten!$AX$27,INDEX(INDIRECT($B$4),MATCH(DR32,INDIRECT($B$5),0))))</f>
        <v>Sprungdisziplinen nicht durchgeführt</v>
      </c>
      <c r="DT32" s="202" t="str">
        <f ca="1">IFERROR(INDEX(INDIRECT(DT$12),MATCH(DR32,StdDisziplinen[ID],0)),"")</f>
        <v/>
      </c>
      <c r="DU32" s="202" t="e">
        <f t="shared" ca="1" si="65"/>
        <v>#N/A</v>
      </c>
      <c r="DV32" s="202" t="e">
        <f t="shared" ca="1" si="66"/>
        <v>#N/A</v>
      </c>
      <c r="DW32" s="202" t="str">
        <f t="shared" ca="1" si="67"/>
        <v/>
      </c>
      <c r="DX32" s="202" t="e">
        <f t="shared" ca="1" si="68"/>
        <v>#N/A</v>
      </c>
      <c r="DY32" s="202" t="str">
        <f t="shared" ca="1" si="69"/>
        <v/>
      </c>
      <c r="DZ32" s="31" t="str">
        <f ca="1">IF(BallwurfSkalawert[[#This Row],[Skala-Wert]]=$A$3,$A$2,IF(ISNUMBER(BallwurfSkalawert[[#This Row],[Skala-Wert]]),BallwurfNote[[#This Row],[Note]],"!"))</f>
        <v>!</v>
      </c>
      <c r="EA32" s="31" t="str">
        <f ca="1">IF(KugelstossenSkalawert[[#This Row],[Skala-Wert]]=$A$3,$A$2,IF(ISNUMBER(KugelstossenSkalawert[[#This Row],[Skala-Wert]]),KugelstossenNote[[#This Row],[Note]],"!"))</f>
        <v>!</v>
      </c>
      <c r="EB32" s="31" t="str">
        <f ca="1">IF(SpeerwurfSkalawert[[#This Row],[Skala-Wert]]=$A$3,$A$2,IF(ISNUMBER(SpeerwurfSkalawert[[#This Row],[Skala-Wert]]),SpeerwurfNote[[#This Row],[Note]],"!"))</f>
        <v>!</v>
      </c>
      <c r="EC32" s="95" t="str">
        <f ca="1">IF(ED32&gt;0,MAX(DZ32:EB32),IF(EE32&gt;0,99,INDEX(StdFehler[StdFehler],3)))</f>
        <v>Keine Note</v>
      </c>
      <c r="ED32" s="202">
        <f t="shared" ca="1" si="70"/>
        <v>0</v>
      </c>
      <c r="EE32" s="202">
        <f t="shared" ca="1" si="71"/>
        <v>0</v>
      </c>
      <c r="EF32" s="202" t="str">
        <f t="shared" ca="1" si="72"/>
        <v/>
      </c>
      <c r="EG32" s="202" t="str">
        <f ca="1">IF(EF32=$A$2,DZ$10&amp;Stammdaten!$AX$25,IF(EC32=INDEX(StdFehler[],3),DZ$10&amp;Stammdaten!$AX$27,INDEX(INDIRECT($B$4),MATCH(EF32,INDIRECT($B$5),0))))</f>
        <v>Wurfdisziplinen nicht durchgeführt</v>
      </c>
      <c r="EH32" s="202" t="str">
        <f ca="1">IFERROR(INDEX(INDIRECT(EH$12),MATCH(EF32,StdDisziplinen[ID],0)),"")</f>
        <v/>
      </c>
      <c r="EI32" s="202" t="e">
        <f t="shared" ca="1" si="73"/>
        <v>#N/A</v>
      </c>
      <c r="EJ32" s="202" t="e">
        <f t="shared" ca="1" si="74"/>
        <v>#N/A</v>
      </c>
      <c r="EK32" s="98" t="str">
        <f t="shared" ca="1" si="75"/>
        <v/>
      </c>
      <c r="EL32" s="202" t="e">
        <f t="shared" ca="1" si="76"/>
        <v>#N/A</v>
      </c>
      <c r="EM32" s="202" t="str">
        <f t="shared" ca="1" si="77"/>
        <v/>
      </c>
      <c r="EN32" s="200">
        <f t="shared" ca="1" si="1"/>
        <v>0</v>
      </c>
      <c r="EO32" s="202">
        <f t="shared" ca="1" si="78"/>
        <v>0</v>
      </c>
      <c r="EP32" s="96">
        <f t="shared" ca="1" si="2"/>
        <v>0</v>
      </c>
      <c r="EQ32" s="96">
        <f t="shared" ca="1" si="3"/>
        <v>0</v>
      </c>
      <c r="ER32" s="96">
        <f t="shared" ca="1" si="4"/>
        <v>0</v>
      </c>
      <c r="ES32" s="96">
        <f t="shared" ca="1" si="5"/>
        <v>0</v>
      </c>
      <c r="ET32" s="202">
        <f t="shared" ca="1" si="79"/>
        <v>0</v>
      </c>
      <c r="EU32" s="202" t="str">
        <f ca="1">IF($EO32=$FA$4,Stammdaten!$AX$19,IF(COUNTIF($EP32:$ES32,0)&lt;&gt;0,INDEX(StdFehler[StdFehler],4),ROUND(SUM($ET32/$EN32)/$FC$4,0)*$FC$4))</f>
        <v>Zu wenige Noten</v>
      </c>
      <c r="EV32" s="202" t="str">
        <f t="shared" ca="1" si="6"/>
        <v>Zu wenige Noten</v>
      </c>
      <c r="EW32" s="202" t="str">
        <f t="shared" ca="1" si="80"/>
        <v>Zu wenige Noten</v>
      </c>
      <c r="EX32" s="202" t="str">
        <f t="shared" ca="1" si="80"/>
        <v>Zu wenige Noten</v>
      </c>
      <c r="EY32" s="202" t="str">
        <f t="shared" ca="1" si="80"/>
        <v>Zu wenige Noten</v>
      </c>
      <c r="EZ32" s="202" t="str">
        <f t="shared" ca="1" si="81"/>
        <v>Zu wenige Noten</v>
      </c>
      <c r="FA32" s="202" t="str">
        <f t="shared" ca="1" si="82"/>
        <v>Zu wenige Noten</v>
      </c>
      <c r="FB32" s="31"/>
      <c r="FC32" s="56" t="str">
        <f t="shared" ca="1" si="83"/>
        <v>Zu wenige Noten</v>
      </c>
      <c r="FD32" s="31"/>
      <c r="FE32" s="597"/>
      <c r="FF32" s="190"/>
      <c r="FJ32" s="31"/>
      <c r="FK32" s="597"/>
      <c r="FL32" s="190"/>
      <c r="FP32" s="31"/>
      <c r="FQ32" s="597"/>
      <c r="FR32" s="190"/>
      <c r="FV32" s="31"/>
      <c r="FW32" s="597"/>
      <c r="FX32" s="190"/>
      <c r="GB32" s="31"/>
      <c r="GC32" s="597"/>
      <c r="GD32" s="190"/>
      <c r="GF32" s="154"/>
      <c r="GH32" s="31"/>
      <c r="GI32" s="597"/>
      <c r="GJ32" s="190"/>
      <c r="GN32" s="45"/>
      <c r="GO32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2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2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2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2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2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2" s="202">
        <f t="shared" si="7"/>
        <v>0</v>
      </c>
      <c r="GV32" s="202">
        <f t="shared" si="8"/>
        <v>0</v>
      </c>
      <c r="GW32" s="202">
        <f t="shared" si="84"/>
        <v>0</v>
      </c>
      <c r="GX32" s="200" t="str">
        <f t="shared" si="85"/>
        <v>!</v>
      </c>
      <c r="GY32" s="200" t="str">
        <f t="shared" si="9"/>
        <v>!</v>
      </c>
      <c r="GZ32" s="200" t="str">
        <f t="shared" si="10"/>
        <v>!</v>
      </c>
      <c r="HA32" s="244" t="str">
        <f t="shared" si="86"/>
        <v>nd</v>
      </c>
      <c r="HB32" s="244" t="str">
        <f t="shared" si="87"/>
        <v>nd</v>
      </c>
      <c r="HC32" s="244" t="str">
        <f t="shared" si="88"/>
        <v>nd</v>
      </c>
      <c r="HD32" s="244" t="str">
        <f t="shared" si="89"/>
        <v>nd</v>
      </c>
      <c r="HE32" s="244" t="str">
        <f t="shared" si="90"/>
        <v>nd</v>
      </c>
      <c r="HF32" s="244" t="str">
        <f t="shared" si="91"/>
        <v>nd</v>
      </c>
      <c r="HG32" s="202" t="b">
        <f t="shared" si="92"/>
        <v>0</v>
      </c>
      <c r="HH32" s="202">
        <f t="shared" si="93"/>
        <v>1</v>
      </c>
      <c r="HI32" s="202">
        <f t="shared" si="94"/>
        <v>0</v>
      </c>
      <c r="HJ32" s="200" t="str">
        <f t="shared" si="95"/>
        <v/>
      </c>
      <c r="HK32" s="200" t="str">
        <f t="shared" si="96"/>
        <v/>
      </c>
      <c r="HL32" s="200">
        <f t="shared" si="97"/>
        <v>0</v>
      </c>
      <c r="HM32" s="202" t="str">
        <f t="shared" si="98"/>
        <v/>
      </c>
      <c r="HN32" s="200" t="str">
        <f t="shared" si="99"/>
        <v/>
      </c>
      <c r="HO32" s="200" t="str">
        <f t="shared" si="100"/>
        <v/>
      </c>
      <c r="HP32" s="200" t="str">
        <f t="shared" si="101"/>
        <v/>
      </c>
      <c r="HQ32" s="242" t="str">
        <f t="shared" si="102"/>
        <v/>
      </c>
      <c r="HR32" s="242" t="str">
        <f t="shared" si="103"/>
        <v/>
      </c>
      <c r="HS32" s="242" t="str">
        <f t="shared" si="104"/>
        <v/>
      </c>
      <c r="HT32" s="242" t="str">
        <f t="shared" ca="1" si="105"/>
        <v>Erstes Gerät</v>
      </c>
      <c r="HU32" s="242" t="str">
        <f ca="1">IF(HT32=$HS$12,Stammdaten!$AY$27,IF(HW32=$A$2,TRIM(Stammdaten!$AX$25),""))</f>
        <v>nicht durchgeführt</v>
      </c>
      <c r="HV32" s="242" t="str">
        <f t="shared" ca="1" si="106"/>
        <v/>
      </c>
      <c r="HW32" s="277" t="str">
        <f t="shared" si="11"/>
        <v/>
      </c>
      <c r="HX32" s="202" t="str">
        <f t="shared" si="107"/>
        <v/>
      </c>
      <c r="HY32" s="202" t="str">
        <f t="shared" ca="1" si="108"/>
        <v/>
      </c>
      <c r="HZ32" s="202" t="str">
        <f t="shared" ca="1" si="109"/>
        <v>StdDisziplinen[MaxTextSt]</v>
      </c>
      <c r="IA32" s="202" t="str">
        <f t="shared" ca="1" si="12"/>
        <v/>
      </c>
      <c r="IB32" s="202" t="b">
        <f t="shared" si="110"/>
        <v>0</v>
      </c>
      <c r="IC32" s="202" t="str">
        <f t="shared" si="111"/>
        <v/>
      </c>
      <c r="ID32" s="202" t="str">
        <f t="shared" si="112"/>
        <v/>
      </c>
      <c r="IE32" s="202" t="str">
        <f t="shared" si="113"/>
        <v/>
      </c>
      <c r="IF32" s="202" t="str">
        <f t="shared" si="114"/>
        <v/>
      </c>
      <c r="IG32" s="242" t="str">
        <f t="shared" si="115"/>
        <v/>
      </c>
      <c r="IH32" s="242" t="str">
        <f t="shared" si="116"/>
        <v/>
      </c>
      <c r="II32" s="242" t="str">
        <f t="shared" ca="1" si="13"/>
        <v>Zweites Gerät</v>
      </c>
      <c r="IJ32" s="242" t="str">
        <f ca="1">IF(II32=$IH$12,Stammdaten!$AY$27,IF(IL32=$A$2,TRIM(Stammdaten!$AX$25),""))</f>
        <v>nicht durchgeführt</v>
      </c>
      <c r="IK32" s="242" t="str">
        <f t="shared" ca="1" si="117"/>
        <v/>
      </c>
      <c r="IL32" s="200" t="str">
        <f t="shared" si="14"/>
        <v/>
      </c>
      <c r="IM32" s="202" t="str">
        <f t="shared" si="118"/>
        <v/>
      </c>
      <c r="IN32" s="202" t="str">
        <f t="shared" ca="1" si="119"/>
        <v/>
      </c>
      <c r="IO32" s="202" t="str">
        <f t="shared" ca="1" si="120"/>
        <v>StdDisziplinen[MaxTextSt]</v>
      </c>
      <c r="IP32" s="202" t="str">
        <f t="shared" ca="1" si="121"/>
        <v/>
      </c>
      <c r="IQ32" s="202" t="b">
        <f t="shared" si="122"/>
        <v>0</v>
      </c>
      <c r="IR32" s="242" t="str">
        <f t="shared" ca="1" si="15"/>
        <v>Drittes Gerät</v>
      </c>
      <c r="IS32" s="242" t="str">
        <f ca="1">IF(IR32=$IR$12,MID(Stammdaten!$AX$27,2,LEN(Stammdaten!$AX$27)),IF(IU32=$A$2,TRIM(Stammdaten!$AX$25),""))</f>
        <v>nicht durchgeführt</v>
      </c>
      <c r="IT32" s="242" t="str">
        <f t="shared" ca="1" si="16"/>
        <v/>
      </c>
      <c r="IU32" s="200" t="str">
        <f t="shared" si="17"/>
        <v/>
      </c>
      <c r="IV32" s="202" t="str">
        <f t="shared" si="123"/>
        <v/>
      </c>
      <c r="IW32" s="202" t="str">
        <f t="shared" ca="1" si="124"/>
        <v/>
      </c>
      <c r="IX32" s="202" t="str">
        <f t="shared" ca="1" si="125"/>
        <v>StdDisziplinen[MaxTextSt]</v>
      </c>
      <c r="IY32" s="202" t="str">
        <f t="shared" ca="1" si="18"/>
        <v/>
      </c>
      <c r="IZ32" s="200" t="str">
        <f>IF(NOT(GW32),INDEX(StdFehler[StdFehler],4),IF(COUNTIF(GX32:GZ32,$A$2)&gt;=$IZ$4,$A$3,SUM(GX32:GZ32)))</f>
        <v>Zu wenige Noten</v>
      </c>
      <c r="JA32" s="31"/>
      <c r="JB32" s="587" t="e">
        <f t="shared" si="19"/>
        <v>#VALUE!</v>
      </c>
      <c r="JC32" s="191" t="str">
        <f>IF(OR(Geschlecht[[#This Row],[Geschlecht (Skala)]]="",IZ32=""),"",MID(Geschlecht[[#This Row],[Geschlecht (Skala)]],1,1)&amp;MID($FE$16,1,1))</f>
        <v/>
      </c>
      <c r="JD32" s="190" t="str">
        <f>IF(OR(JC32="",IZ32=""),"",REPLACE(INDEX(StdDisziplinen[TabÜberschriftResultat],$FE$3),FIND("X",INDEX(StdDisziplinen[TabÜberschriftResultat],$FE$3),1),2,JC32))</f>
        <v/>
      </c>
      <c r="JE32" s="192" t="str">
        <f ca="1">IF(OR(JD32="",IZ32=Stammdaten!$AZ$5),"",IF(OR(IZ32=Stammdaten!$AX$22,IZ32=Stammdaten!$AX$19),Stammdaten!$AX$19,IF(ISNA(INDEX(INDIRECT(JD32),MATCH(GeräteturnenGerundet[[#This Row],[Rundung]],INDIRECT(JD32),$JD$16))),IF($JD$16=-1,LARGE(INDIRECT(JD32),1),SMALL(INDIRECT(JD32),1)),INDEX(INDIRECT(JD32),MATCH(GeräteturnenGerundet[[#This Row],[Rundung]],INDIRECT(JD32),$JD$16)))))</f>
        <v/>
      </c>
      <c r="JG32" s="18" t="str">
        <f ca="1">IF(GeräteturnenSkalawert[[#This Row],[Skala-Wert]]="","",REPLACE(INDEX(StdDisziplinen[TabÜberschriftNote],$FE$3),FIND("X",INDEX(StdDisziplinen[TabÜberschriftNote],$FE$3),1),2,JC32))</f>
        <v/>
      </c>
      <c r="JH32" s="45" t="str">
        <f ca="1">IF(OR(JG32="",GeräteturnenSkalawert[[#This Row],[Skala-Wert]]=Stammdaten!$AX$19),"",INDEX(INDIRECT(JG32),MATCH(GeräteturnenSkalawert[[#This Row],[Skala-Wert]],INDIRECT(JD32),0)))</f>
        <v/>
      </c>
      <c r="JI32" s="31"/>
      <c r="JJ32" s="597"/>
      <c r="JK32" s="190"/>
      <c r="JL32" s="587">
        <f>IF(JL$16,IF(JM$16=0.5,MROUND(ParkourResultat[[#This Row],[Resultat]],JM$16),ROUND(ParkourResultat[[#This Row],[Resultat]],JM$16)),ROUNDDOWN(ParkourResultat[[#This Row],[Resultat]],JM$16))</f>
        <v>0</v>
      </c>
      <c r="JM32" s="191" t="str">
        <f>IF(OR(Geschlecht[[#This Row],[Geschlecht (Skala)]]="",JJ$16=""),"",MID(Geschlecht[[#This Row],[Geschlecht (Skala)]],1,1)&amp;MID(JJ$16,1,1))</f>
        <v/>
      </c>
      <c r="JN32" s="190" t="str">
        <f>IF(OR(JM32="",ParkourResultat[[#This Row],[Resultat]]=""),"",REPLACE(INDEX(StdDisziplinen[TabÜberschriftResultat],JJ$3),FIND("X",INDEX(StdDisziplinen[TabÜberschriftResultat],JJ$3),1),2,JM32))</f>
        <v/>
      </c>
      <c r="JO32" s="192" t="str">
        <f ca="1">IF(JN32="","",IF(OR(ParkourResultat[[#This Row],[Resultat]]=Stammdaten!$AX$22,ParkourResultat[[#This Row],[Resultat]]=Stammdaten!$AX$19),Stammdaten!$AX$19,IF(ISNA(INDEX(INDIRECT(JN32),MATCH(ParkourGerundet[[#This Row],[Rundung]],INDIRECT(JN32),JN$18))),IF(JN$18=-1,LARGE(INDIRECT(JN32),1),SMALL(INDIRECT(JN32),1)),INDEX(INDIRECT(JN32),MATCH(ParkourGerundet[[#This Row],[Rundung]],INDIRECT(JN32),JN$18)))))</f>
        <v/>
      </c>
      <c r="JQ32" s="18" t="str">
        <f ca="1">IF(ParkourSkalawert[[#This Row],[Skala-Wert]]="","",REPLACE(INDEX(StdDisziplinen[TabÜberschriftNote],JJ$3),FIND("X",INDEX(StdDisziplinen[TabÜberschriftNote],JJ$3),1),2,JM32))</f>
        <v/>
      </c>
      <c r="JR32" s="31" t="str">
        <f ca="1">IF(OR(JQ32="",ParkourSkalawert[[#This Row],[Skala-Wert]]=Stammdaten!$AX$19),"",INDEX(INDIRECT(JQ32),MATCH(ParkourSkalawert[[#This Row],[Skala-Wert]],INDIRECT(JN32),0)))</f>
        <v/>
      </c>
      <c r="JS32" s="96"/>
      <c r="JT32" s="47" t="str">
        <f ca="1">IF(OR(ISNUMBER(ParkourSkalawert[[#This Row],[Skala-Wert]]),ParkourSkalawert[[#This Row],[Skala-Wert]]=$A$3),INDEX(INDIRECT($JU$1),MATCH($JJ$3,INDIRECT($B$5),0)),"")</f>
        <v/>
      </c>
      <c r="JU32" s="200" t="str">
        <f t="shared" ca="1" si="126"/>
        <v>StdDisziplinen[MaxTextSt]</v>
      </c>
      <c r="JV32" s="200" t="str">
        <f t="shared" ca="1" si="127"/>
        <v/>
      </c>
      <c r="JW32" s="98">
        <f ca="1">IF(GeräteturnenSkalawert[[#This Row],[Skala-Wert]]=$A$3,$A$2,IF(GeräteturnenNote[[#This Row],[Note]]="",0,GeräteturnenNote[[#This Row],[Note]]))</f>
        <v>0</v>
      </c>
      <c r="JX32" s="96">
        <f ca="1">IF(ParkourSkalawert[[#This Row],[Skala-Wert]]=$A$3,$A$2,IF(ParkourNote[[#This Row],[Note]]="",0,ParkourNote[[#This Row],[Note]]))</f>
        <v>0</v>
      </c>
      <c r="JY32" s="200">
        <f t="shared" ca="1" si="128"/>
        <v>0</v>
      </c>
      <c r="JZ32" s="200">
        <f t="shared" ca="1" si="129"/>
        <v>0</v>
      </c>
      <c r="KA32" s="202">
        <f t="shared" ca="1" si="130"/>
        <v>0</v>
      </c>
      <c r="KB32" s="98" t="str">
        <f t="shared" ca="1" si="20"/>
        <v>!</v>
      </c>
      <c r="KC32" s="98" t="str">
        <f t="shared" ca="1" si="21"/>
        <v>!</v>
      </c>
      <c r="KD32" s="202" t="str">
        <f ca="1">IF(NOT(KA32),INDEX(StdFehler[StdFehler],4),IF(JZ32=$KA$12,$A$3,IF(JW32=$A$2,JX32,IF(JX32=$A$2,JW32,CONCATENATE(JW32,", ",JX32)))))</f>
        <v>Zu wenige Noten</v>
      </c>
      <c r="KE32" s="202" t="str">
        <f t="shared" ca="1" si="131"/>
        <v>Zu wenige Noten</v>
      </c>
      <c r="KF32" s="31"/>
      <c r="KG32" s="56" t="str">
        <f ca="1">IF(NOT(KA32),INDEX(StdFehler[StdFehler],4),IF(JZ32=$KA$12,$A$3,ROUND(AVERAGE(KB32:KC32)/$KG$4,0)*$KG$4))</f>
        <v>Zu wenige Noten</v>
      </c>
      <c r="KH32" s="31"/>
      <c r="KI32" s="599"/>
      <c r="KJ32" s="190"/>
      <c r="KK32" s="586">
        <f>IF(KK$16,IF(KL$16=0.5,MROUND(TanzenResultat[[#This Row],[Resultat]],KL$16),ROUND(TanzenResultat[[#This Row],[Resultat]],KL$16)),ROUNDDOWN(TanzenResultat[[#This Row],[Resultat]],KL$16))</f>
        <v>0</v>
      </c>
      <c r="KL32" s="191" t="str">
        <f>IF(OR(Geschlecht[[#This Row],[Geschlecht (Skala)]]="",KI$16=""),"",MID(Geschlecht[[#This Row],[Geschlecht (Skala)]],1,1)&amp;MID(KI$16,1,1))</f>
        <v/>
      </c>
      <c r="KM32" s="190" t="str">
        <f>IF(OR(KL32="",TanzenResultat[[#This Row],[Resultat]]=""),"",REPLACE(INDEX(StdDisziplinen[TabÜberschriftResultat],KI$3),FIND("X",INDEX(StdDisziplinen[TabÜberschriftResultat],KI$3),1),2,KL32))</f>
        <v/>
      </c>
      <c r="KN32" s="31" t="str">
        <f ca="1">IF(KM32="","",IF(OR(TanzenResultat[[#This Row],[Resultat]]=Stammdaten!$AX$22,TanzenResultat[[#This Row],[Resultat]]=Stammdaten!$AX$19),Stammdaten!$AX$19,IF(ISNA(INDEX(INDIRECT(KM32),MATCH(TanzenGerundet[[#This Row],[Rundung]],INDIRECT(KM32),KM$18))),IF(KM$18=-1,LARGE(INDIRECT(KM32),1),SMALL(INDIRECT(KM32),1)),INDEX(INDIRECT(KM32),MATCH(TanzenGerundet[[#This Row],[Rundung]],INDIRECT(KM32),KM$18)))))</f>
        <v/>
      </c>
      <c r="KP32" s="18" t="str">
        <f ca="1">IF(TanzenSkalawert[[#This Row],[Skala-Wert]]="","",REPLACE(INDEX(StdDisziplinen[TabÜberschriftNote],KI$3),FIND("X",INDEX(StdDisziplinen[TabÜberschriftNote],KI$3),1),2,KL32))</f>
        <v/>
      </c>
      <c r="KQ32" s="45" t="str">
        <f ca="1">IF(OR(KP32="",TanzenSkalawert[[#This Row],[Skala-Wert]]=Stammdaten!$AX$19),"",INDEX(INDIRECT(KP32),MATCH(TanzenSkalawert[[#This Row],[Skala-Wert]],INDIRECT(KM32),0)))</f>
        <v/>
      </c>
      <c r="KR32" s="31"/>
      <c r="KS32" s="597"/>
      <c r="KT32" s="190"/>
      <c r="KU32" s="587">
        <f>IF(KU$16,IF(KV$16=0.5,MROUND(RopeSkippingResultat[[#This Row],[Resultat]],KV$16),ROUND(RopeSkippingResultat[[#This Row],[Resultat]],KV$16)),ROUNDDOWN(RopeSkippingResultat[[#This Row],[Resultat]],KV$16))</f>
        <v>0</v>
      </c>
      <c r="KV32" s="191" t="str">
        <f>IF(OR(Geschlecht[[#This Row],[Geschlecht (Skala)]]="",KS$16=""),"",MID(Geschlecht[[#This Row],[Geschlecht (Skala)]],1,1)&amp;MID(KS$16,1,1))</f>
        <v/>
      </c>
      <c r="KW32" s="190" t="str">
        <f>IF(OR(KV32="",RopeSkippingResultat[[#This Row],[Resultat]]=""),"",REPLACE(INDEX(StdDisziplinen[TabÜberschriftResultat],KS$3),FIND("X",INDEX(StdDisziplinen[TabÜberschriftResultat],KS$3),1),2,KV32))</f>
        <v/>
      </c>
      <c r="KX32" s="192" t="str">
        <f ca="1">IF(KW32="","",IF(OR(RopeSkippingResultat[[#This Row],[Resultat]]=Stammdaten!$AX$22,RopeSkippingResultat[[#This Row],[Resultat]]=Stammdaten!$AX$19),Stammdaten!$AX$19,IF(ISNA(INDEX(INDIRECT(KW32),MATCH(RopeSkippingGerundet[[#This Row],[Rundung]],INDIRECT(KW32),KW$18))),IF(KW$18=-1,LARGE(INDIRECT(KW32),1),SMALL(INDIRECT(KW32),1)),INDEX(INDIRECT(KW32),MATCH(RopeSkippingGerundet[[#This Row],[Rundung]],INDIRECT(KW32),KW$18)))))</f>
        <v/>
      </c>
      <c r="KZ32" s="18" t="str">
        <f ca="1">IF(RopeSkippingSkalawert[[#This Row],[Skala-Wert]]="","",REPLACE(INDEX(StdDisziplinen[TabÜberschriftNote],KS$3),FIND("X",INDEX(StdDisziplinen[TabÜberschriftNote],KS$3),1),2,KV32))</f>
        <v/>
      </c>
      <c r="LA32" s="45" t="str">
        <f ca="1">IF(OR(KZ32="",RopeSkippingSkalawert[[#This Row],[Skala-Wert]]=Stammdaten!$AX$19),"",INDEX(INDIRECT(KZ32),MATCH(RopeSkippingSkalawert[[#This Row],[Skala-Wert]],INDIRECT(KW32),0)))</f>
        <v/>
      </c>
      <c r="LB32" s="31"/>
      <c r="LC32" s="599"/>
      <c r="LD32" s="190"/>
      <c r="LE32" s="586">
        <f>IF(LE$16,IF(LF$16=0.5,MROUND(AerobicResultat[[#This Row],[Resultat]],LF$16),ROUND(AerobicResultat[[#This Row],[Resultat]],LF$16)),ROUNDDOWN(AerobicResultat[[#This Row],[Resultat]],LF$16))</f>
        <v>0</v>
      </c>
      <c r="LF32" s="191" t="str">
        <f>IF(OR(Geschlecht[[#This Row],[Geschlecht (Skala)]]="",LC$16=""),"",MID(Geschlecht[[#This Row],[Geschlecht (Skala)]],1,1)&amp;MID(LC$16,1,1))</f>
        <v/>
      </c>
      <c r="LG32" s="190" t="str">
        <f>IF(OR(LF32="",AerobicResultat[[#This Row],[Resultat]]=""),"",REPLACE(INDEX(StdDisziplinen[TabÜberschriftResultat],LC$3),FIND("X",INDEX(StdDisziplinen[TabÜberschriftResultat],LC$3),1),2,LF32))</f>
        <v/>
      </c>
      <c r="LH32" s="31" t="str">
        <f ca="1">IF(LG32="","",IF(OR(AerobicResultat[[#This Row],[Resultat]]=Stammdaten!$AX$22,AerobicResultat[[#This Row],[Resultat]]=Stammdaten!$AX$19),Stammdaten!$AX$19,IF(ISNA(INDEX(INDIRECT(LG32),MATCH(AerobicGerundet[[#This Row],[Rundung]],INDIRECT(LG32),LG$18))),IF(LG$18=-1,LARGE(INDIRECT(LG32),1),SMALL(INDIRECT(LG32),1)),INDEX(INDIRECT(LG32),MATCH(AerobicGerundet[[#This Row],[Rundung]],INDIRECT(LG32),LG$18)))))</f>
        <v/>
      </c>
      <c r="LJ32" s="18" t="str">
        <f ca="1">IF(AerobicSkalawert[[#This Row],[Skala-Wert]]="","",REPLACE(INDEX(StdDisziplinen[TabÜberschriftNote],LC$3),FIND("X",INDEX(StdDisziplinen[TabÜberschriftNote],LC$3),1),2,LF32))</f>
        <v/>
      </c>
      <c r="LK32" s="45" t="str">
        <f ca="1">IF(OR(LJ32="",AerobicSkalawert[[#This Row],[Skala-Wert]]=Stammdaten!$AX$19),"",INDEX(INDIRECT(LJ32),MATCH(AerobicSkalawert[[#This Row],[Skala-Wert]],INDIRECT(LG32),0)))</f>
        <v/>
      </c>
      <c r="LL32" s="31"/>
      <c r="LM32" s="45" t="str">
        <f ca="1">IF(TanzenSkalawert[[#This Row],[Skala-Wert]]=$A$3,$A$2,IF(ISNUMBER(TanzenSkalawert[[#This Row],[Skala-Wert]]),TanzenNote[[#This Row],[Note]],"!"))</f>
        <v>!</v>
      </c>
      <c r="LN32" s="45" t="str">
        <f ca="1">IF(RopeSkippingSkalawert[[#This Row],[Skala-Wert]]=$A$3,$A$2,IF(ISNUMBER(RopeSkippingSkalawert[[#This Row],[Skala-Wert]]),RopeSkippingNote[[#This Row],[Note]],"!"))</f>
        <v>!</v>
      </c>
      <c r="LO32" s="45" t="str">
        <f ca="1">IF(AerobicSkalawert[[#This Row],[Skala-Wert]]=$A$3,$A$2,IF(ISNUMBER(AerobicSkalawert[[#This Row],[Skala-Wert]]),AerobicNote[[#This Row],[Note]],"!"))</f>
        <v>!</v>
      </c>
      <c r="LP32" s="36">
        <f t="shared" ca="1" si="132"/>
        <v>0</v>
      </c>
      <c r="LQ32" s="36">
        <f t="shared" ca="1" si="133"/>
        <v>0</v>
      </c>
      <c r="LR32" s="244" t="str">
        <f t="shared" ca="1" si="22"/>
        <v>nd</v>
      </c>
      <c r="LS32" s="244" t="str">
        <f t="shared" ca="1" si="23"/>
        <v>nd</v>
      </c>
      <c r="LT32" s="244" t="str">
        <f t="shared" ca="1" si="24"/>
        <v>nd</v>
      </c>
      <c r="LU32" s="242" t="str">
        <f t="shared" ca="1" si="25"/>
        <v/>
      </c>
      <c r="LV32" s="242" t="str">
        <f t="shared" ca="1" si="134"/>
        <v/>
      </c>
      <c r="LW32" s="242" t="str">
        <f t="shared" ca="1" si="135"/>
        <v/>
      </c>
      <c r="LX32" s="242" t="str">
        <f ca="1">IF(LW32="",Stammdaten!$AM$4,INDEX(INDIRECT($B$4),MATCH($LW32,INDIRECT($B$5),0)))</f>
        <v>Darstellen und Tanzen</v>
      </c>
      <c r="LY32" s="242" t="str">
        <f ca="1">IF(LW32="",Stammdaten!$AY$27,IF(ISNUMBER(LU32),LX32,IF(ISNUMBER(LV32),TRIM(Stammdaten!$AX$25),"")))</f>
        <v>nicht durchgeführt</v>
      </c>
      <c r="LZ32" s="242" t="str">
        <f t="shared" ca="1" si="136"/>
        <v>Darstellen und Tanzen</v>
      </c>
      <c r="MA32" s="242" t="str">
        <f t="shared" ca="1" si="137"/>
        <v/>
      </c>
      <c r="MB32" s="242" t="str">
        <f t="shared" ca="1" si="26"/>
        <v>Darstellen und TanzenResultat[@Resultat]</v>
      </c>
      <c r="MC32" s="274" t="str">
        <f t="shared" ca="1" si="138"/>
        <v/>
      </c>
      <c r="MD32" s="242" t="str">
        <f t="shared" ca="1" si="139"/>
        <v>Darstellen und TanzenSkalawert[@[Skala-Wert]]</v>
      </c>
      <c r="ME32" s="274" t="str">
        <f t="shared" ca="1" si="140"/>
        <v/>
      </c>
      <c r="MF32" s="47" t="str">
        <f t="shared" ca="1" si="27"/>
        <v/>
      </c>
      <c r="MG32" s="200" t="str">
        <f t="shared" ca="1" si="141"/>
        <v>StdDisziplinen[MaxTextSt]</v>
      </c>
      <c r="MH32" s="200" t="str">
        <f t="shared" ca="1" si="142"/>
        <v/>
      </c>
      <c r="MI32" s="45"/>
      <c r="MJ32" s="98" t="str">
        <f ca="1">IF(LP32&gt;0,MAX(LM32:LO32),IF(LQ32&gt;0,$A$3,INDEX(StdFehler[StdFehler],4)))</f>
        <v>Zu wenige Noten</v>
      </c>
      <c r="MK32" s="45"/>
      <c r="ML32" s="37"/>
      <c r="MM32" s="190"/>
      <c r="MN32" s="586">
        <f>IF(MN$16,IF(MO$16=0.5,MROUND(BasketballResultat[[#This Row],[Resultat]],MO$16),ROUND(BasketballResultat[[#This Row],[Resultat]],MO$16)),ROUNDDOWN(BasketballResultat[[#This Row],[Resultat]],MO$16))</f>
        <v>0</v>
      </c>
      <c r="MO32" s="191" t="str">
        <f>IF(OR(Geschlecht[[#This Row],[Geschlecht (Skala)]]="",ML$16=""),"",MID(Geschlecht[[#This Row],[Geschlecht (Skala)]],1,1)&amp;MID(ML$16,1,1))</f>
        <v/>
      </c>
      <c r="MP32" s="190" t="str">
        <f>IF(OR(MO32="",BasketballResultat[[#This Row],[Resultat]]=""),"",REPLACE(INDEX(StdDisziplinen[TabÜberschriftResultat],ML$3),FIND("X",INDEX(StdDisziplinen[TabÜberschriftResultat],ML$3),1),2,MO32))</f>
        <v/>
      </c>
      <c r="MQ32" s="31" t="str">
        <f ca="1">IF(MP32="","",IF(OR(BasketballResultat[[#This Row],[Resultat]]=Stammdaten!$AX$22,BasketballResultat[[#This Row],[Resultat]]=Stammdaten!$AX$19),Stammdaten!$AX$19,IF(ISNA(INDEX(INDIRECT(MP32),MATCH(BasketballGerundet[[#This Row],[Rundung]],INDIRECT(MP32),MP$18))),IF(MP$18=-1,LARGE(INDIRECT(MP32),1),SMALL(INDIRECT(MP32),1)),INDEX(INDIRECT(MP32),MATCH(BasketballGerundet[[#This Row],[Rundung]],INDIRECT(MP32),MP$18)))))</f>
        <v/>
      </c>
      <c r="MS32" s="18" t="str">
        <f ca="1">IF(BasketballSkalawert[[#This Row],[Skala-Wert]]="","",REPLACE(INDEX(StdDisziplinen[TabÜberschriftNote],ML$3),FIND("X",INDEX(StdDisziplinen[TabÜberschriftNote],ML$3),1),2,MO32))</f>
        <v/>
      </c>
      <c r="MT32" s="31" t="str">
        <f ca="1">IF(OR(MS32="",BasketballSkalawert[[#This Row],[Skala-Wert]]=Stammdaten!$AX$19),"",INDEX(INDIRECT(MS32),MATCH(BasketballSkalawert[[#This Row],[Skala-Wert]],INDIRECT(MP32),0)))</f>
        <v/>
      </c>
      <c r="MU32" s="31"/>
      <c r="MV32" s="37"/>
      <c r="MW32" s="190"/>
      <c r="MX32" s="586">
        <f>IF(MX$16,IF(MY$16=0.5,MROUND(FussballResultat[[#This Row],[Resultat]],MY$16),ROUND(FussballResultat[[#This Row],[Resultat]],MY$16)),ROUNDDOWN(FussballResultat[[#This Row],[Resultat]],MY$16))</f>
        <v>0</v>
      </c>
      <c r="MY32" s="191" t="str">
        <f>IF(OR(Geschlecht[[#This Row],[Geschlecht (Skala)]]="",MV$16=""),"",MID(Geschlecht[[#This Row],[Geschlecht (Skala)]],1,1)&amp;MID(MV$16,1,1))</f>
        <v/>
      </c>
      <c r="MZ32" s="190" t="str">
        <f>IF(OR(MY32="",FussballResultat[[#This Row],[Resultat]]=""),"",REPLACE(INDEX(StdDisziplinen[TabÜberschriftResultat],MV$3),FIND("X",INDEX(StdDisziplinen[TabÜberschriftResultat],MV$3),1),2,MY32))</f>
        <v/>
      </c>
      <c r="NA32" s="31" t="str">
        <f ca="1">IF(MZ32="","",IF(OR(FussballResultat[[#This Row],[Resultat]]=Stammdaten!$AX$22,FussballResultat[[#This Row],[Resultat]]=Stammdaten!$AX$19),Stammdaten!$AX$19,IF(ISNA(INDEX(INDIRECT(MZ32),MATCH(FussballGerundet[[#This Row],[Rundung]],INDIRECT(MZ32),MZ$18))),IF(MZ$18=-1,LARGE(INDIRECT(MZ32),1),SMALL(INDIRECT(MZ32),1)),INDEX(INDIRECT(MZ32),MATCH(FussballGerundet[[#This Row],[Rundung]],INDIRECT(MZ32),MZ$18)))))</f>
        <v/>
      </c>
      <c r="NC32" s="18" t="str">
        <f ca="1">IF(FussballSkalawert[[#This Row],[Skala-Wert]]="","",REPLACE(INDEX(StdDisziplinen[TabÜberschriftNote],MV$3),FIND("X",INDEX(StdDisziplinen[TabÜberschriftNote],MV$3),1),2,MY32))</f>
        <v/>
      </c>
      <c r="ND32" s="31" t="str">
        <f ca="1">IF(OR(NC32="",FussballSkalawert[[#This Row],[Skala-Wert]]=Stammdaten!$AX$19),"",INDEX(INDIRECT(NC32),MATCH(FussballSkalawert[[#This Row],[Skala-Wert]],INDIRECT(MZ32),0)))</f>
        <v/>
      </c>
      <c r="NE32" s="31"/>
      <c r="NF32" s="37"/>
      <c r="NG32" s="190"/>
      <c r="NH32" s="586">
        <f>IF(NH$16,IF(NI$16=0.5,MROUND(HandballResultat[[#This Row],[Resultat]],NI$16),ROUND(HandballResultat[[#This Row],[Resultat]],NI$16)),ROUNDDOWN(HandballResultat[[#This Row],[Resultat]],NI$16))</f>
        <v>0</v>
      </c>
      <c r="NI32" s="191" t="str">
        <f>IF(OR(Geschlecht[[#This Row],[Geschlecht (Skala)]]="",NF$16=""),"",MID(Geschlecht[[#This Row],[Geschlecht (Skala)]],1,1)&amp;MID(NF$16,1,1))</f>
        <v/>
      </c>
      <c r="NJ32" s="190" t="str">
        <f>IF(OR(NI32="",HandballResultat[[#This Row],[Resultat]]=""),"",REPLACE(INDEX(StdDisziplinen[TabÜberschriftResultat],NF$3),FIND("X",INDEX(StdDisziplinen[TabÜberschriftResultat],NF$3),1),2,NI32))</f>
        <v/>
      </c>
      <c r="NK32" s="31" t="str">
        <f ca="1">IF(NJ32="","",IF(OR(HandballResultat[[#This Row],[Resultat]]=Stammdaten!$AX$22,HandballResultat[[#This Row],[Resultat]]=Stammdaten!$AX$19),Stammdaten!$AX$19,IF(ISNA(INDEX(INDIRECT(NJ32),MATCH(HandballGerundet[[#This Row],[Rundung]],INDIRECT(NJ32),NJ$18))),IF(NJ$18=-1,LARGE(INDIRECT(NJ32),1),SMALL(INDIRECT(NJ32),1)),INDEX(INDIRECT(NJ32),MATCH(HandballGerundet[[#This Row],[Rundung]],INDIRECT(NJ32),NJ$18)))))</f>
        <v/>
      </c>
      <c r="NM32" s="18" t="str">
        <f ca="1">IF(HandballSkalawert[[#This Row],[Skala-Wert]]="","",REPLACE(INDEX(StdDisziplinen[TabÜberschriftNote],NF$3),FIND("X",INDEX(StdDisziplinen[TabÜberschriftNote],NF$3),1),2,NI32))</f>
        <v/>
      </c>
      <c r="NN32" s="31" t="str">
        <f ca="1">IF(OR(NM32="",HandballSkalawert[[#This Row],[Skala-Wert]]=Stammdaten!$AX$19),"",INDEX(INDIRECT(NM32),MATCH(HandballSkalawert[[#This Row],[Skala-Wert]],INDIRECT(NJ32),0)))</f>
        <v/>
      </c>
      <c r="NO32" s="31"/>
      <c r="NP32" s="37"/>
      <c r="NQ32" s="190"/>
      <c r="NR32" s="586">
        <f>IF(NR$16,IF(NS$16=0.5,MROUND(UnihockeyResultat[[#This Row],[Resultat]],NS$16),ROUND(UnihockeyResultat[[#This Row],[Resultat]],NS$16)),ROUNDDOWN(UnihockeyResultat[[#This Row],[Resultat]],NS$16))</f>
        <v>0</v>
      </c>
      <c r="NS32" s="191" t="str">
        <f>IF(OR(Geschlecht[[#This Row],[Geschlecht (Skala)]]="",NP$16=""),"",MID(Geschlecht[[#This Row],[Geschlecht (Skala)]],1,1)&amp;MID(NP$16,1,1))</f>
        <v/>
      </c>
      <c r="NT32" s="190" t="str">
        <f>IF(OR(NS32="",UnihockeyResultat[[#This Row],[Resultat]]=""),"",REPLACE(INDEX(StdDisziplinen[TabÜberschriftResultat],NP$3),FIND("X",INDEX(StdDisziplinen[TabÜberschriftResultat],NP$3),1),2,NS32))</f>
        <v/>
      </c>
      <c r="NU32" s="31" t="str">
        <f ca="1">IF(NT32="","",IF(OR(UnihockeyResultat[[#This Row],[Resultat]]=Stammdaten!$AX$22,UnihockeyResultat[[#This Row],[Resultat]]=Stammdaten!$AX$19),Stammdaten!$AX$19,IF(ISNA(INDEX(INDIRECT(NT32),MATCH(UnihockeyGerundet[[#This Row],[Rundung]],INDIRECT(NT32),NT$18))),IF(NT$18=-1,LARGE(INDIRECT(NT32),1),SMALL(INDIRECT(NT32),1)),INDEX(INDIRECT(NT32),MATCH(UnihockeyGerundet[[#This Row],[Rundung]],INDIRECT(NT32),NT$18)))))</f>
        <v/>
      </c>
      <c r="NW32" s="18" t="str">
        <f ca="1">IF(UnihockeySkalawert[[#This Row],[Skala-Wert]]="","",REPLACE(INDEX(StdDisziplinen[TabÜberschriftNote],NP$3),FIND("X",INDEX(StdDisziplinen[TabÜberschriftNote],NP$3),1),2,NS32))</f>
        <v/>
      </c>
      <c r="NX32" s="31" t="str">
        <f ca="1">IF(OR(NW32="",UnihockeySkalawert[[#This Row],[Skala-Wert]]=Stammdaten!$AX$19),"",INDEX(INDIRECT(NW32),MATCH(UnihockeySkalawert[[#This Row],[Skala-Wert]],INDIRECT(NT32),0)))</f>
        <v/>
      </c>
      <c r="NY32" s="31"/>
      <c r="NZ32" s="597"/>
      <c r="OA32" s="190"/>
      <c r="OB32" s="587">
        <f>IF(OB$16,IF(OC$16=0.5,MROUND(VolleyballResultat[[#This Row],[Resultat]],OC$16),ROUND(VolleyballResultat[[#This Row],[Resultat]],OC$16)),ROUNDDOWN(VolleyballResultat[[#This Row],[Resultat]],OC$16))</f>
        <v>0</v>
      </c>
      <c r="OC32" s="191" t="str">
        <f>IF(OR(Geschlecht[[#This Row],[Geschlecht (Skala)]]="",NZ$16=""),"",MID(Geschlecht[[#This Row],[Geschlecht (Skala)]],1,1)&amp;MID(NZ$16,1,1))</f>
        <v/>
      </c>
      <c r="OD32" s="190" t="str">
        <f>IF(OR(OC32="",VolleyballResultat[[#This Row],[Resultat]]=""),"",REPLACE(INDEX(StdDisziplinen[TabÜberschriftResultat],NZ$3),FIND("X",INDEX(StdDisziplinen[TabÜberschriftResultat],NZ$3),1),2,OC32))</f>
        <v/>
      </c>
      <c r="OE32" s="192" t="str">
        <f ca="1">IF(OD32="","",IF(OR(VolleyballResultat[[#This Row],[Resultat]]=Stammdaten!$AX$22,VolleyballResultat[[#This Row],[Resultat]]=Stammdaten!$AX$19),Stammdaten!$AX$19,IF(ISNA(INDEX(INDIRECT(OD32),MATCH(VolleyballGerundet[[#This Row],[Rundung]],INDIRECT(OD32),OD$18))),IF(OD$18=-1,LARGE(INDIRECT(OD32),1),SMALL(INDIRECT(OD32),1)),INDEX(INDIRECT(OD32),MATCH(VolleyballGerundet[[#This Row],[Rundung]],INDIRECT(OD32),OD$18)))))</f>
        <v/>
      </c>
      <c r="OG32" s="18" t="str">
        <f ca="1">IF(VolleyballSkalawert[[#This Row],[Skala-Wert]]="","",REPLACE(INDEX(StdDisziplinen[TabÜberschriftNote],NZ$3),FIND("X",INDEX(StdDisziplinen[TabÜberschriftNote],NZ$3),1),2,OC32))</f>
        <v/>
      </c>
      <c r="OH32" s="31" t="str">
        <f ca="1">IF(OR(OG32="",VolleyballSkalawert[[#This Row],[Skala-Wert]]=Stammdaten!$AX$19),"",INDEX(INDIRECT(OG32),MATCH(VolleyballSkalawert[[#This Row],[Skala-Wert]],INDIRECT(OD32),0)))</f>
        <v/>
      </c>
      <c r="OI32" s="45"/>
      <c r="OJ32" s="31">
        <f ca="1">IF(BasketballSkalawert[[#This Row],[Skala-Wert]]=$A$3,$A$2,IF(BasketballNote[[#This Row],[Note]]="",0,BasketballNote[[#This Row],[Note]]))</f>
        <v>0</v>
      </c>
      <c r="OK32" s="31">
        <f ca="1">IF(FussballSkalawert[[#This Row],[Skala-Wert]]=$A$3,$A$2,IF(FussballNote[[#This Row],[Note]]="",0,FussballNote[[#This Row],[Note]]))</f>
        <v>0</v>
      </c>
      <c r="OL32" s="31">
        <f ca="1">IF(HandballSkalawert[[#This Row],[Skala-Wert]]=$A$3,$A$2,IF(HandballNote[[#This Row],[Note]]="",0,HandballNote[[#This Row],[Note]]))</f>
        <v>0</v>
      </c>
      <c r="OM32" s="31">
        <f ca="1">IF(UnihockeySkalawert[[#This Row],[Skala-Wert]]=$A$3,$A$2,IF(UnihockeyNote[[#This Row],[Note]]="",0,UnihockeyNote[[#This Row],[Note]]))</f>
        <v>0</v>
      </c>
      <c r="ON32" s="31">
        <f ca="1">IF(VolleyballSkalawert[[#This Row],[Skala-Wert]]=$A$3,$A$2,IF(VolleyballNote[[#This Row],[Note]]="",0,VolleyballNote[[#This Row],[Note]]))</f>
        <v>0</v>
      </c>
      <c r="OO32" s="202">
        <f t="shared" ca="1" si="28"/>
        <v>0</v>
      </c>
      <c r="OP32" s="202">
        <f t="shared" ca="1" si="29"/>
        <v>0</v>
      </c>
      <c r="OQ32" s="202">
        <f t="shared" ca="1" si="143"/>
        <v>0</v>
      </c>
      <c r="OR32" s="96" t="str">
        <f t="shared" ca="1" si="144"/>
        <v>!</v>
      </c>
      <c r="OS32" s="96" t="str">
        <f t="shared" ca="1" si="30"/>
        <v>!</v>
      </c>
      <c r="OT32" s="96" t="str">
        <f t="shared" ca="1" si="31"/>
        <v>!</v>
      </c>
      <c r="OU32" s="96" t="str">
        <f ca="1">IF(NOT(OQ32),INDEX(StdFehler[StdFehler],4),IF(COUNTIF(OR32:OT32,$A$2)&gt;=$OQ$13,$A$3,ROUND(AVERAGE(OR32:OT32)/$RX$4,0)*$RX$4))</f>
        <v>Zu wenige Noten</v>
      </c>
      <c r="OV32" s="244" t="str">
        <f t="shared" ca="1" si="145"/>
        <v>nd</v>
      </c>
      <c r="OW32" s="244" t="str">
        <f t="shared" ca="1" si="146"/>
        <v>nd</v>
      </c>
      <c r="OX32" s="244" t="str">
        <f t="shared" ca="1" si="147"/>
        <v>nd</v>
      </c>
      <c r="OY32" s="244" t="str">
        <f t="shared" ca="1" si="148"/>
        <v>nd</v>
      </c>
      <c r="OZ32" s="244" t="str">
        <f t="shared" ca="1" si="149"/>
        <v>nd</v>
      </c>
      <c r="PA32" s="202" t="b">
        <f t="shared" ca="1" si="150"/>
        <v>0</v>
      </c>
      <c r="PB32" s="202">
        <f t="shared" ca="1" si="151"/>
        <v>1</v>
      </c>
      <c r="PC32" s="202">
        <f t="shared" ca="1" si="152"/>
        <v>0</v>
      </c>
      <c r="PD32" s="96" t="str">
        <f t="shared" ca="1" si="153"/>
        <v/>
      </c>
      <c r="PE32" s="96" t="str">
        <f t="shared" ca="1" si="154"/>
        <v/>
      </c>
      <c r="PF32" s="200">
        <f t="shared" ca="1" si="155"/>
        <v>0</v>
      </c>
      <c r="PG32" s="202" t="str">
        <f t="shared" ca="1" si="156"/>
        <v/>
      </c>
      <c r="PH32" s="200" t="str">
        <f t="shared" ca="1" si="157"/>
        <v/>
      </c>
      <c r="PI32" s="200" t="str">
        <f t="shared" ca="1" si="158"/>
        <v/>
      </c>
      <c r="PJ32" s="200" t="str">
        <f t="shared" ca="1" si="159"/>
        <v/>
      </c>
      <c r="PK32" s="242" t="str">
        <f t="shared" ca="1" si="160"/>
        <v/>
      </c>
      <c r="PL32" s="242" t="str">
        <f t="shared" ca="1" si="161"/>
        <v/>
      </c>
      <c r="PM32" s="242" t="str">
        <f t="shared" ca="1" si="162"/>
        <v/>
      </c>
      <c r="PN32" s="242" t="str">
        <f t="shared" ca="1" si="163"/>
        <v>Erste Spielsportart</v>
      </c>
      <c r="PO32" s="242" t="str">
        <f ca="1">IF(PN32=$PM$11,Stammdaten!$AY$27,IF(PR32=$A$2,TRIM(Stammdaten!$AX$25),""))</f>
        <v>nicht durchgeführt</v>
      </c>
      <c r="PP32" s="242" t="str">
        <f t="shared" ca="1" si="164"/>
        <v/>
      </c>
      <c r="PQ32" s="202" t="str">
        <f t="shared" ca="1" si="165"/>
        <v>Erste SpielsportartResultat[@Resultat]</v>
      </c>
      <c r="PR32" s="98" t="str">
        <f t="shared" ca="1" si="166"/>
        <v/>
      </c>
      <c r="PS32" s="202" t="str">
        <f t="shared" ca="1" si="167"/>
        <v/>
      </c>
      <c r="PT32" s="202" t="str">
        <f t="shared" ca="1" si="168"/>
        <v>Erste SpielsportartSkalawert[@[Skala-Wert]]</v>
      </c>
      <c r="PU32" s="98" t="str">
        <f t="shared" ca="1" si="169"/>
        <v/>
      </c>
      <c r="PV32" s="202" t="str">
        <f t="shared" ca="1" si="170"/>
        <v/>
      </c>
      <c r="PW32" s="202" t="str">
        <f t="shared" ca="1" si="171"/>
        <v/>
      </c>
      <c r="PX32" s="202" t="str">
        <f t="shared" ca="1" si="172"/>
        <v>StdDisziplinen[MaxTextSt]</v>
      </c>
      <c r="PY32" s="202" t="str">
        <f t="shared" ca="1" si="173"/>
        <v/>
      </c>
      <c r="PZ32" s="202" t="b">
        <f t="shared" ca="1" si="174"/>
        <v>0</v>
      </c>
      <c r="QA32" s="202" t="str">
        <f t="shared" ca="1" si="175"/>
        <v/>
      </c>
      <c r="QB32" s="202" t="str">
        <f t="shared" ca="1" si="32"/>
        <v/>
      </c>
      <c r="QC32" s="202" t="str">
        <f t="shared" ca="1" si="176"/>
        <v/>
      </c>
      <c r="QD32" s="202" t="str">
        <f t="shared" ca="1" si="177"/>
        <v/>
      </c>
      <c r="QE32" s="242" t="str">
        <f t="shared" ca="1" si="178"/>
        <v/>
      </c>
      <c r="QF32" s="242" t="str">
        <f t="shared" ca="1" si="179"/>
        <v/>
      </c>
      <c r="QG32" s="242" t="str">
        <f t="shared" ca="1" si="180"/>
        <v>Zweite Spielsportart</v>
      </c>
      <c r="QH32" s="242" t="str">
        <f ca="1">IF(QG32=$QF$11,Stammdaten!$AY$27,IF(QK32=$A$2,TRIM(Stammdaten!$AX$25),""))</f>
        <v>nicht durchgeführt</v>
      </c>
      <c r="QI32" s="242" t="str">
        <f t="shared" ca="1" si="181"/>
        <v/>
      </c>
      <c r="QJ32" s="202" t="str">
        <f t="shared" ca="1" si="182"/>
        <v>Zweite SpielsportartResultat[@Resultat]</v>
      </c>
      <c r="QK32" s="98" t="str">
        <f t="shared" ca="1" si="183"/>
        <v/>
      </c>
      <c r="QL32" s="202" t="str">
        <f t="shared" ca="1" si="184"/>
        <v/>
      </c>
      <c r="QM32" s="202" t="str">
        <f t="shared" ca="1" si="185"/>
        <v>Zweite SpielsportartSkalawert[@[Skala-Wert]]</v>
      </c>
      <c r="QN32" s="98" t="str">
        <f t="shared" ca="1" si="186"/>
        <v/>
      </c>
      <c r="QO32" s="202" t="str">
        <f t="shared" ca="1" si="187"/>
        <v/>
      </c>
      <c r="QP32" s="202" t="str">
        <f t="shared" ca="1" si="188"/>
        <v/>
      </c>
      <c r="QQ32" s="202" t="str">
        <f t="shared" ca="1" si="189"/>
        <v>StdDisziplinen[MaxTextSt]</v>
      </c>
      <c r="QR32" s="202" t="str">
        <f t="shared" ca="1" si="190"/>
        <v/>
      </c>
      <c r="QS32" s="202" t="b">
        <f t="shared" ca="1" si="191"/>
        <v>0</v>
      </c>
      <c r="QT32" s="242" t="str">
        <f t="shared" ca="1" si="33"/>
        <v>Dritte Spielsportart</v>
      </c>
      <c r="QU32" s="242" t="str">
        <f ca="1">IF(QT32=$QT$11,MID(Stammdaten!$AX$27,2,LEN(Stammdaten!$AX$27)),IF(QX32=$A$2,TRIM(Stammdaten!$AX$25),""))</f>
        <v>nicht durchgeführt</v>
      </c>
      <c r="QV32" s="242" t="str">
        <f t="shared" ca="1" si="34"/>
        <v/>
      </c>
      <c r="QW32" s="202" t="str">
        <f t="shared" ca="1" si="192"/>
        <v>Dritte SpielsportartResultat[@Resultat]</v>
      </c>
      <c r="QX32" s="98" t="str">
        <f t="shared" ca="1" si="193"/>
        <v/>
      </c>
      <c r="QY32" s="202" t="str">
        <f t="shared" ca="1" si="35"/>
        <v/>
      </c>
      <c r="QZ32" s="202" t="str">
        <f t="shared" ca="1" si="194"/>
        <v>Dritte SpielsportartSkalawert[@[Skala-Wert]]</v>
      </c>
      <c r="RA32" s="98" t="str">
        <f t="shared" ca="1" si="224"/>
        <v/>
      </c>
      <c r="RB32" s="202" t="str">
        <f t="shared" ca="1" si="36"/>
        <v/>
      </c>
      <c r="RC32" s="202" t="str">
        <f t="shared" ca="1" si="196"/>
        <v/>
      </c>
      <c r="RD32" s="202" t="str">
        <f t="shared" ca="1" si="197"/>
        <v>StdDisziplinen[MaxTextSt]</v>
      </c>
      <c r="RE32" s="202" t="str">
        <f t="shared" ca="1" si="37"/>
        <v/>
      </c>
      <c r="RF32" s="244">
        <f t="shared" ca="1" si="38"/>
        <v>99</v>
      </c>
      <c r="RG32" s="244">
        <f t="shared" ca="1" si="39"/>
        <v>99</v>
      </c>
      <c r="RH32" s="244">
        <f t="shared" ca="1" si="40"/>
        <v>99</v>
      </c>
      <c r="RI32" s="244">
        <f t="shared" ca="1" si="41"/>
        <v>99</v>
      </c>
      <c r="RJ32" s="244">
        <f t="shared" ca="1" si="42"/>
        <v>99</v>
      </c>
      <c r="RK32" s="244">
        <f t="shared" ca="1" si="198"/>
        <v>99</v>
      </c>
      <c r="RL32" s="244">
        <f t="shared" ca="1" si="199"/>
        <v>99</v>
      </c>
      <c r="RM32" s="244">
        <f t="shared" ca="1" si="200"/>
        <v>99</v>
      </c>
      <c r="RN32" s="244">
        <f t="shared" ca="1" si="201"/>
        <v>99</v>
      </c>
      <c r="RO32" s="244">
        <f t="shared" ca="1" si="202"/>
        <v>99</v>
      </c>
      <c r="RP32" s="202" t="str">
        <f t="shared" ca="1" si="43"/>
        <v>Zu wenige Noten</v>
      </c>
      <c r="RQ32" s="202" t="str">
        <f t="shared" ca="1" si="203"/>
        <v>Zu wenige Noten</v>
      </c>
      <c r="RR32" s="202" t="str">
        <f t="shared" ca="1" si="203"/>
        <v>Zu wenige Noten</v>
      </c>
      <c r="RS32" s="202" t="str">
        <f t="shared" ca="1" si="204"/>
        <v>Zu wenige Noten</v>
      </c>
      <c r="RT32" s="202" t="str">
        <f t="shared" ca="1" si="204"/>
        <v>Zu wenige Noten</v>
      </c>
      <c r="RU32" s="202" t="str">
        <f t="shared" ca="1" si="205"/>
        <v>Zu wenige Noten</v>
      </c>
      <c r="RV32" s="202" t="str">
        <f t="shared" ca="1" si="206"/>
        <v>Zu wenige Noten</v>
      </c>
      <c r="RW32" s="31"/>
      <c r="RX32" s="56" t="str">
        <f t="shared" ca="1" si="44"/>
        <v>Zu wenige Noten</v>
      </c>
      <c r="RY32" s="31"/>
      <c r="RZ32" s="31" t="str">
        <f t="shared" ca="1" si="45"/>
        <v>Zu wenige Noten</v>
      </c>
      <c r="SA32" s="31" t="str">
        <f t="shared" ca="1" si="46"/>
        <v>Zu wenige Noten</v>
      </c>
      <c r="SB32" s="45" t="str">
        <f t="shared" ca="1" si="47"/>
        <v>Zu wenige Noten</v>
      </c>
      <c r="SC32" s="31" t="str">
        <f t="shared" ca="1" si="207"/>
        <v>Zu wenige Noten</v>
      </c>
      <c r="SD32" s="31" t="str">
        <f t="shared" ca="1" si="208"/>
        <v>Zu wenige Noten</v>
      </c>
      <c r="SE32" s="31" t="str">
        <f t="shared" ca="1" si="48"/>
        <v>Zu wenige Noten</v>
      </c>
      <c r="SF32" s="31" t="str">
        <f t="shared" ca="1" si="209"/>
        <v>Zu wenige Noten</v>
      </c>
      <c r="SG32" s="31" t="str">
        <f t="shared" ca="1" si="48"/>
        <v>Zu wenige Noten</v>
      </c>
      <c r="SH32" s="36">
        <f t="shared" ca="1" si="210"/>
        <v>0</v>
      </c>
      <c r="SI32" s="36">
        <f t="shared" ca="1" si="211"/>
        <v>0</v>
      </c>
      <c r="SJ32" s="36">
        <f t="shared" ca="1" si="212"/>
        <v>0</v>
      </c>
      <c r="SK32" s="31">
        <f t="shared" ca="1" si="213"/>
        <v>99</v>
      </c>
      <c r="SL32" s="31">
        <f t="shared" ca="1" si="214"/>
        <v>99</v>
      </c>
      <c r="SM32" s="36" t="str">
        <f t="shared" ca="1" si="215"/>
        <v>99.0</v>
      </c>
      <c r="SN32" s="31">
        <f t="shared" ca="1" si="216"/>
        <v>99</v>
      </c>
      <c r="SO32" s="36" t="str">
        <f ca="1">IF(NOT(SJ32),INDEX(StdFehler[StdFehler],4),IF(SI32=$SJ$13,$A$3,CONCATENATE(TEXT(SK32,"#.0"),", ",TEXT(SL32,"#.0"),", ",SM32,", ",TEXT(SN32,"#.0"))))</f>
        <v>Zu wenige Noten</v>
      </c>
      <c r="SP32" s="36" t="str">
        <f t="shared" ca="1" si="49"/>
        <v>Zu wenige Noten</v>
      </c>
      <c r="SQ32" s="36" t="str">
        <f t="shared" ca="1" si="49"/>
        <v>Zu wenige Noten</v>
      </c>
      <c r="SR32" s="36" t="str">
        <f t="shared" ca="1" si="49"/>
        <v>Zu wenige Noten</v>
      </c>
      <c r="SS32" s="36" t="str">
        <f t="shared" ca="1" si="49"/>
        <v>Zu wenige Noten</v>
      </c>
      <c r="ST32" s="36" t="str">
        <f t="shared" ca="1" si="217"/>
        <v>Zu wenige Noten</v>
      </c>
      <c r="SU32" s="36"/>
      <c r="SV32" s="214" t="str">
        <f t="shared" si="218"/>
        <v>D</v>
      </c>
      <c r="SW32" s="36"/>
      <c r="SX32" s="214" t="str">
        <f t="shared" si="219"/>
        <v>D</v>
      </c>
      <c r="SY32" s="36"/>
      <c r="SZ32" s="214" t="str">
        <f t="shared" si="220"/>
        <v>D</v>
      </c>
      <c r="TA32" s="36"/>
      <c r="TB32" s="214" t="str">
        <f t="shared" si="221"/>
        <v>D</v>
      </c>
      <c r="TC32" s="31"/>
      <c r="TD32" s="36" t="str">
        <f t="shared" ca="1" si="222"/>
        <v>Zu wenige Noten</v>
      </c>
      <c r="TE32" s="31"/>
      <c r="TF32" s="193" t="str">
        <f ca="1">IF(NOT(SJ32),INDEX(StdFehler[StdFehler],4),IF(SI32=$TF$4,$A$3,ROUND(AVERAGE(RZ32:SC32)/$TF$5,0)*$TF$5))</f>
        <v>Zu wenige Noten</v>
      </c>
      <c r="TH32" s="595" t="str">
        <f>IF(OR($TH$18=Stammdaten!$AX$20,$TH$18=""),Stammdaten!$AX$20,$TH$18)</f>
        <v>Disziplin</v>
      </c>
      <c r="TI32" s="33"/>
      <c r="TJ32" s="33" t="str">
        <f>IF(OR(Geschlecht[[#This Row],[Geschlecht (Skala)]]="",TH32="",TH32=Stammdaten!$AX$20),"",REPLACE(INDEX(StdDisziplinen[TabÜberschriftResultat],TH$3),FIND("XX",INDEX(StdDisziplinen[TabÜberschriftResultat],TH$3),1),2,Geschlecht[[#This Row],[Geschlecht (Skala)]]))</f>
        <v/>
      </c>
      <c r="TK32" s="596"/>
      <c r="TM32" s="37"/>
      <c r="TN32" s="40"/>
      <c r="TO32" s="587">
        <f>IF(TO$16,IF(TP$16=0.5,MROUND(SchwimmenResultat[[#This Row],[Resultat]],TP$16),ROUND(SchwimmenResultat[[#This Row],[Resultat]],TP$16)),ROUNDDOWN(SchwimmenResultat[[#This Row],[Resultat]],TP$16))</f>
        <v>0</v>
      </c>
      <c r="TP32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2" s="153" t="str">
        <f ca="1">IF(TP32="","",IF(OR(SchwimmenResultat[[#This Row],[Resultat]]=Stammdaten!$AX$22,SchwimmenResultat[[#This Row],[Resultat]]=Stammdaten!$AX$19),Stammdaten!$AX$19,IF(ISNA(INDEX(INDIRECT(TP32),MATCH(SchwimmenGerundet[[#This Row],[Rundung]],INDIRECT(TP32),TP$18))),IF(TP$18=-1,LARGE(INDIRECT(TP32),1),SMALL(INDIRECT(TP32),1)),INDEX(INDIRECT(TP32),MATCH(SchwimmenGerundet[[#This Row],[Rundung]],INDIRECT(TP32),TP$18)))))</f>
        <v/>
      </c>
      <c r="TR32" s="33" t="str">
        <f>IF(OR(TP32="",SchwimmenResultat[[#This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2" s="33"/>
      <c r="TT32" s="36" t="str">
        <f ca="1">IF(OR(TR32="",SchwimmenSkalawert[[#This Row],[Skala-Wert]]=Stammdaten!$AX$19),"",INDEX(INDIRECT(TR32),MATCH(SchwimmenSkalawert[[#This Row],[Skala-Wert]],INDIRECT(TP32),0)))</f>
        <v/>
      </c>
      <c r="TU32" s="36"/>
      <c r="TV32" s="190" t="str">
        <f>IF(ZwölfMinLaufHalleResultat[[#This Row],[Resultat]]=0,"",ZwölfMinLaufHalleResultat[[#This Row],[Resultat]])</f>
        <v/>
      </c>
      <c r="TW32" s="190"/>
      <c r="TX32" s="31" t="str">
        <f ca="1">ZwölfMinLaufHalleSkalawert[[#This Row],[Skala-Wert]]</f>
        <v/>
      </c>
      <c r="TZ32" s="31" t="str">
        <f ca="1">ZwölfMinLaufHalleNote[[#This Row],[Note]]</f>
        <v/>
      </c>
      <c r="UA32" s="31"/>
      <c r="UB32" s="190" t="str">
        <f>IF(ZwölfMinLaufimFreienResultat[[#This Row],[Resultat]]=0,"",ZwölfMinLaufimFreienResultat[[#This Row],[Resultat]])</f>
        <v/>
      </c>
      <c r="UC32" s="190"/>
      <c r="UD32" s="192" t="str">
        <f ca="1">ZwölfMinLaufimFreienSkalawert[[#This Row],[Skala-Wert]]</f>
        <v/>
      </c>
      <c r="UF32" s="31" t="str">
        <f ca="1">ZwölfMinLaufimFreienNote[[#This Row],[Note]]</f>
        <v/>
      </c>
      <c r="UG32" s="31"/>
      <c r="UH32" s="597"/>
      <c r="UI32" s="190"/>
      <c r="UJ32" s="587">
        <f>IF(UJ$16,IF(UK$16=0.5,MROUND(BeweglichkeitResultat[[#This Row],[Resultat]],UK$16),ROUND(BeweglichkeitResultat[[#This Row],[Resultat]],UK$16)),ROUNDDOWN(BeweglichkeitResultat[[#This Row],[Resultat]],UK$16))</f>
        <v>0</v>
      </c>
      <c r="UK32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2" s="192" t="str">
        <f ca="1">IF(UK32="","",IF(OR(BeweglichkeitResultat[[#This Row],[Resultat]]=Stammdaten!$AX$22,BeweglichkeitResultat[[#This Row],[Resultat]]=Stammdaten!$AX$19),Stammdaten!$AX$19,IF(ISNA(INDEX(INDIRECT(UK32),MATCH(BeweglichkeitGerundet[[#This Row],[Rundung]],INDIRECT(UK32),UK$18))),IF(UK$18=-1,LARGE(INDIRECT(UK32),1),SMALL(INDIRECT(UK32),1)),INDEX(INDIRECT(UK32),MATCH(BeweglichkeitGerundet[[#This Row],[Rundung]],INDIRECT(UK32),UK$18)))))</f>
        <v/>
      </c>
      <c r="UN32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2" s="36" t="str">
        <f ca="1">IF(OR(UK32="",BeweglichkeitSkalawert[[#This Row],[Skala-Wert]]=Stammdaten!$AX$19),"",INDEX(INDIRECT(UN32),MATCH(BeweglichkeitSkalawert[[#This Row],[Skala-Wert]],INDIRECT(UK32),0)))</f>
        <v/>
      </c>
      <c r="UP32" s="31"/>
      <c r="UQ32" s="597"/>
      <c r="UR32" s="190"/>
      <c r="US32" s="587">
        <f>IF(US$16,IF(UT$16=0.5,MROUND(RumpfkraftResultat[[#This Row],[Resultat]],UT$16),ROUND(RumpfkraftResultat[[#This Row],[Resultat]],UT$16)),ROUNDDOWN(RumpfkraftResultat[[#This Row],[Resultat]],UT$16))</f>
        <v>0</v>
      </c>
      <c r="UT32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2" s="192" t="str">
        <f ca="1">IF(UT32="","",IF(OR(RumpfkraftResultat[[#This Row],[Resultat]]=Stammdaten!$AX$22,RumpfkraftResultat[[#This Row],[Resultat]]=Stammdaten!$AX$19),Stammdaten!$AX$19,IF(ISNA(INDEX(INDIRECT(UT32),MATCH(RumpfkraftGerundet[[#This Row],[Rundung]],INDIRECT(UT32),UT$18))),IF(UT$18=-1,LARGE(INDIRECT(UT32),1),SMALL(INDIRECT(UT32),1)),INDEX(INDIRECT(UT32),MATCH(RumpfkraftGerundet[[#This Row],[Rundung]],INDIRECT(UT32),UT$18)))))</f>
        <v/>
      </c>
      <c r="UW32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2" s="36" t="str">
        <f ca="1">IF(OR(UT32="",RumpfkraftSkalawert[[#This Row],[Skala-Wert]]=Stammdaten!$AX$19),"",INDEX(INDIRECT(UW32),MATCH(RumpfkraftSkalawert[[#This Row],[Skala-Wert]],INDIRECT(UT32),0)))</f>
        <v/>
      </c>
      <c r="UY32" s="31"/>
      <c r="UZ32" s="190" t="str">
        <f>IF(SechzigmLaufResultat[[#This Row],[Resultat]]=0,"",SechzigmLaufResultat[[#This Row],[Resultat]])</f>
        <v/>
      </c>
      <c r="VA32" s="190"/>
      <c r="VB32" s="45" t="str">
        <f ca="1">SechzigmLaufSkalawert[[#This Row],[Skala-Wert]]</f>
        <v/>
      </c>
      <c r="VD32" s="31" t="str">
        <f ca="1">SechzigmLaufNote[[#This Row],[Note]]</f>
        <v/>
      </c>
      <c r="VE32" s="31"/>
      <c r="VF32" s="190" t="str">
        <f>IF(AchtzigmLaufResultat[[#This Row],[Resultat]]=0,"",AchtzigmLaufResultat[[#This Row],[Resultat]])</f>
        <v/>
      </c>
      <c r="VG32" s="190"/>
      <c r="VH32" s="45" t="str">
        <f ca="1">AchtzigmLaufSkalawert[[#This Row],[Skala-Wert]]</f>
        <v/>
      </c>
      <c r="VJ32" s="31" t="str">
        <f ca="1">AchtzigmLaufNote[[#This Row],[Note]]</f>
        <v/>
      </c>
      <c r="VK32" s="31"/>
      <c r="VL32" s="37"/>
      <c r="VM32" s="190"/>
      <c r="VN32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2" s="191" t="str">
        <f>IF(OR(Geschlecht[[#This Row],[Geschlecht (Skala)]]="",VL$16=""),"",MID(Geschlecht[[#This Row],[Geschlecht (Skala)]],1,1)&amp;MID(VL$16,1,1))</f>
        <v/>
      </c>
      <c r="VP32" s="190" t="str">
        <f>IF(OR(VO32="",KonditionsparcoursResultat[[#This Row],[Resultat]]=""),"",REPLACE(INDEX(StdDisziplinen[TabÜberschriftResultat],VL$3),FIND("X",INDEX(StdDisziplinen[TabÜberschriftResultat],VL$3),1),2,VO32))</f>
        <v/>
      </c>
      <c r="VQ32" s="192" t="str">
        <f ca="1">IF(VP32="","",IF(OR(KonditionsparcoursResultat[[#This Row],[Resultat]]=Stammdaten!$AX$22,KonditionsparcoursResultat[[#This Row],[Resultat]]=Stammdaten!$AX$19),Stammdaten!$AX$19,IF(ISNA(INDEX(INDIRECT(VP32),MATCH(KonditionsparcoursGerundet[[#This Row],[Rundung]],INDIRECT(VP32),VP$18))),IF(VP$18=-1,LARGE(INDIRECT(VP32),1),SMALL(INDIRECT(VP32),1)),INDEX(INDIRECT(VP32),MATCH(KonditionsparcoursGerundet[[#This Row],[Rundung]],INDIRECT(VP32),VP$18)))))</f>
        <v/>
      </c>
      <c r="VS32" s="18" t="str">
        <f ca="1">IF(KonditionsparcoursSkalawert[[#This Row],[Skala-Wert]]="","",REPLACE(INDEX(StdDisziplinen[TabÜberschriftNote],VL$3),FIND("X",INDEX(StdDisziplinen[TabÜberschriftNote],VL$3),1),2,VO32))</f>
        <v/>
      </c>
      <c r="VT32" s="31" t="str">
        <f ca="1">IF(OR(VS32="",KonditionsparcoursSkalawert[[#This Row],[Skala-Wert]]=Stammdaten!$AX$19),"",INDEX(INDIRECT(VS32),MATCH(KonditionsparcoursSkalawert[[#This Row],[Skala-Wert]],INDIRECT(VP32),0)))</f>
        <v/>
      </c>
      <c r="VU32" s="22"/>
    </row>
    <row r="33" spans="1:593" x14ac:dyDescent="0.3">
      <c r="A33" s="30">
        <v>15</v>
      </c>
      <c r="B33" s="589"/>
      <c r="C33" s="589"/>
      <c r="E33" s="591"/>
      <c r="G33" s="37"/>
      <c r="H33" s="190"/>
      <c r="I33" s="154">
        <f>IF(I$16,IF(J$16=0.5,MROUND(SechzigmLaufResultat[[#This Row],[Resultat]],J$16),ROUND(SechzigmLaufResultat[[#This Row],[Resultat]],J$16)),ROUNDDOWN(SechzigmLaufResultat[[#This Row],[Resultat]],J$16))</f>
        <v>0</v>
      </c>
      <c r="J33" s="191" t="str">
        <f>IF(OR(Geschlecht[[#This Row],[Geschlecht (Skala)]]="",G$16=""),"",MID(Geschlecht[[#This Row],[Geschlecht (Skala)]],1,1)&amp;MID(G$16,1,1))</f>
        <v/>
      </c>
      <c r="K33" s="190" t="str">
        <f>IF(OR(J33="",SechzigmLaufResultat[[#This Row],[Resultat]]=""),"",REPLACE(INDEX(StdDisziplinen[TabÜberschriftResultat],G$3),FIND("X",INDEX(StdDisziplinen[TabÜberschriftResultat],G$3),1),2,J33))</f>
        <v/>
      </c>
      <c r="L33" s="45" t="str">
        <f ca="1">IF(K33="","",IF(OR(SechzigmLaufResultat[[#This Row],[Resultat]]=Stammdaten!$AX$22,SechzigmLaufResultat[[#This Row],[Resultat]]=Stammdaten!$AX$19),Stammdaten!$AX$19,IF(ISNA(INDEX(INDIRECT(K33),MATCH(SechzigmLaufGerundet[[#This Row],[Rundung]],INDIRECT(K33),K$18))),IF(K$18=-1,LARGE(INDIRECT(K33),1),SMALL(INDIRECT(K33),1)),INDEX(INDIRECT(K33),MATCH(SechzigmLaufGerundet[[#This Row],[Rundung]],INDIRECT(K33),K$18)))))</f>
        <v/>
      </c>
      <c r="N33" s="18" t="str">
        <f ca="1">IF(SechzigmLaufSkalawert[[#This Row],[Skala-Wert]]="","",REPLACE(INDEX(StdDisziplinen[TabÜberschriftNote],G$3),FIND("X",INDEX(StdDisziplinen[TabÜberschriftNote],G$3),1),2,J33))</f>
        <v/>
      </c>
      <c r="O33" s="31" t="str">
        <f ca="1">IF(OR(N33="",SechzigmLaufSkalawert[[#This Row],[Skala-Wert]]=Stammdaten!$AX$19),"",INDEX(INDIRECT(N33),MATCH(SechzigmLaufSkalawert[[#This Row],[Skala-Wert]],INDIRECT(K33),0)))</f>
        <v/>
      </c>
      <c r="P33" s="31"/>
      <c r="Q33" s="37"/>
      <c r="R33" s="190"/>
      <c r="S33" s="154">
        <f>IF(S$16,IF(T$16=0.5,MROUND(AchtzigmLaufResultat[[#This Row],[Resultat]],T$16),ROUND(AchtzigmLaufResultat[[#This Row],[Resultat]],T$16)),ROUNDDOWN(AchtzigmLaufResultat[[#This Row],[Resultat]],T$16))</f>
        <v>0</v>
      </c>
      <c r="T33" s="191" t="str">
        <f>IF(OR(Geschlecht[[#This Row],[Geschlecht (Skala)]]="",Q$16=""),"",MID(Geschlecht[[#This Row],[Geschlecht (Skala)]],1,1)&amp;MID(Q$16,1,1))</f>
        <v/>
      </c>
      <c r="U33" s="190" t="str">
        <f>IF(OR(T33="",AchtzigmLaufResultat[[#This Row],[Resultat]]=""),"",REPLACE(INDEX(StdDisziplinen[TabÜberschriftResultat],Q$3),FIND("X",INDEX(StdDisziplinen[TabÜberschriftResultat],Q$3),1),2,T33))</f>
        <v/>
      </c>
      <c r="V33" s="45" t="str">
        <f ca="1">IF(U33="","",IF(OR(AchtzigmLaufResultat[[#This Row],[Resultat]]=Stammdaten!$AX$22,AchtzigmLaufResultat[[#This Row],[Resultat]]=Stammdaten!$AX$19),Stammdaten!$AX$19,IF(ISNA(INDEX(INDIRECT(U33),MATCH(AchtzigmLaufGerundet[[#This Row],[Rundung]],INDIRECT(U33),U$18))),IF(U$18=-1,LARGE(INDIRECT(U33),1),SMALL(INDIRECT(U33),1)),INDEX(INDIRECT(U33),MATCH(AchtzigmLaufGerundet[[#This Row],[Rundung]],INDIRECT(U33),U$18)))))</f>
        <v/>
      </c>
      <c r="X33" s="18" t="str">
        <f ca="1">IF(AchtzigmLaufSkalawert[[#This Row],[Skala-Wert]]="","",REPLACE(INDEX(StdDisziplinen[TabÜberschriftNote],Q$3),FIND("X",INDEX(StdDisziplinen[TabÜberschriftNote],Q$3),1),2,T33))</f>
        <v/>
      </c>
      <c r="Y33" s="31" t="str">
        <f ca="1">IF(OR(X33="",AchtzigmLaufSkalawert[[#This Row],[Skala-Wert]]=Stammdaten!$AX$19),"",INDEX(INDIRECT(X33),MATCH(AchtzigmLaufSkalawert[[#This Row],[Skala-Wert]],INDIRECT(U33),0)))</f>
        <v/>
      </c>
      <c r="Z33" s="31"/>
      <c r="AA33" s="37"/>
      <c r="AB33" s="190"/>
      <c r="AC33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3" s="191" t="str">
        <f>IF(OR(Geschlecht[[#This Row],[Geschlecht (Skala)]]="",AA$16=""),"",MID(Geschlecht[[#This Row],[Geschlecht (Skala)]],1,1)&amp;MID(AA$16,1,1))</f>
        <v/>
      </c>
      <c r="AE33" s="190" t="str">
        <f>IF(OR(AD33="",ZwölfMinLaufHalleResultat[[#This Row],[Resultat]]=""),"",REPLACE(INDEX(StdDisziplinen[TabÜberschriftResultat],AA$3),FIND("X",INDEX(StdDisziplinen[TabÜberschriftResultat],AA$3),1),2,AD33))</f>
        <v/>
      </c>
      <c r="AF33" s="31" t="str">
        <f ca="1">IF(AE33="","",IF(OR(ZwölfMinLaufHalleResultat[[#This Row],[Resultat]]=Stammdaten!$AX$22,ZwölfMinLaufHalleResultat[[#This Row],[Resultat]]=Stammdaten!$AX$19),Stammdaten!$AX$19,IF(ISNA(INDEX(INDIRECT(AE33),MATCH(ZwölfMinLaufHalleGerundet[[#This Row],[Rundung]],INDIRECT(AE33),AE$18))),IF(AE$18=-1,LARGE(INDIRECT(AE33),1),SMALL(INDIRECT(AE33),1)),INDEX(INDIRECT(AE33),MATCH(ZwölfMinLaufHalleGerundet[[#This Row],[Rundung]],INDIRECT(AE33),AE$18)))))</f>
        <v/>
      </c>
      <c r="AH33" s="18" t="str">
        <f ca="1">IF(ZwölfMinLaufHalleSkalawert[[#This Row],[Skala-Wert]]="","",REPLACE(INDEX(StdDisziplinen[TabÜberschriftNote],AA$3),FIND("X",INDEX(StdDisziplinen[TabÜberschriftNote],AA$3),1),2,AD33))</f>
        <v/>
      </c>
      <c r="AI33" s="31" t="str">
        <f ca="1">IF(OR(AH33="",ZwölfMinLaufHalleSkalawert[[#This Row],[Skala-Wert]]=Stammdaten!$AX$19),"",INDEX(INDIRECT(AH33),MATCH(ZwölfMinLaufHalleSkalawert[[#This Row],[Skala-Wert]],INDIRECT(AE33),0)))</f>
        <v/>
      </c>
      <c r="AJ33" s="31"/>
      <c r="AK33" s="597"/>
      <c r="AL33" s="190"/>
      <c r="AM33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3" s="191" t="str">
        <f>IF(OR(Geschlecht[[#This Row],[Geschlecht (Skala)]]="",AK$16=""),"",MID(Geschlecht[[#This Row],[Geschlecht (Skala)]],1,1)&amp;MID(AK$16,1,1))</f>
        <v/>
      </c>
      <c r="AO33" s="190" t="str">
        <f>IF(OR(AN33="",ZwölfMinLaufimFreienResultat[[#This Row],[Resultat]]=""),"",REPLACE(INDEX(StdDisziplinen[TabÜberschriftResultat],AK$3),FIND("X",INDEX(StdDisziplinen[TabÜberschriftResultat],AK$3),1),2,AN33))</f>
        <v/>
      </c>
      <c r="AP33" s="192" t="str">
        <f ca="1">IF(AO33="","",IF(OR(ZwölfMinLaufimFreienResultat[[#This Row],[Resultat]]=Stammdaten!$AX$22,ZwölfMinLaufimFreienResultat[[#This Row],[Resultat]]=Stammdaten!$AX$19),Stammdaten!$AX$19,IF(ISNA(INDEX(INDIRECT(AO33),MATCH(ZwölfMinLaufimFreienGerundet[[#This Row],[Rundung]],INDIRECT(AO33),AO$18))),IF(AO$18=-1,LARGE(INDIRECT(AO33),1),SMALL(INDIRECT(AO33),1)),INDEX(INDIRECT(AO33),MATCH(ZwölfMinLaufimFreienGerundet[[#This Row],[Rundung]],INDIRECT(AO33),AO$18)))))</f>
        <v/>
      </c>
      <c r="AR33" s="18" t="str">
        <f ca="1">IF(ZwölfMinLaufimFreienSkalawert[[#This Row],[Skala-Wert]]="","",REPLACE(INDEX(StdDisziplinen[TabÜberschriftNote],AK$3),FIND("X",INDEX(StdDisziplinen[TabÜberschriftNote],AK$3),1),2,AN33))</f>
        <v/>
      </c>
      <c r="AS33" s="31" t="str">
        <f ca="1">IF(OR(AR33="",ZwölfMinLaufimFreienSkalawert[[#This Row],[Skala-Wert]]=Stammdaten!$AX$19),"",INDEX(INDIRECT(AR33),MATCH(ZwölfMinLaufimFreienSkalawert[[#This Row],[Skala-Wert]],INDIRECT(AO33),0)))</f>
        <v/>
      </c>
      <c r="AT33" s="31"/>
      <c r="AU33" s="597"/>
      <c r="AV33" s="190"/>
      <c r="AW33" s="587">
        <f>IF(AW$16,IF(AX$16=0.5,MROUND(HochsprungResultat[[#This Row],[Resultat]],AX$16),ROUND(HochsprungResultat[[#This Row],[Resultat]],AX$16)),ROUNDDOWN(HochsprungResultat[[#This Row],[Resultat]],AX$16))</f>
        <v>0</v>
      </c>
      <c r="AX33" s="191" t="str">
        <f>IF(OR(Geschlecht[[#This Row],[Geschlecht (Skala)]]="",AU$16=""),"",MID(Geschlecht[[#This Row],[Geschlecht (Skala)]],1,1)&amp;MID(AU$16,1,1))</f>
        <v/>
      </c>
      <c r="AY33" s="190" t="str">
        <f>IF(OR(AX33="",HochsprungResultat[[#This Row],[Resultat]]=""),"",REPLACE(INDEX(StdDisziplinen[TabÜberschriftResultat],AU$3),FIND("X",INDEX(StdDisziplinen[TabÜberschriftResultat],AU$3),1),2,AX33))</f>
        <v/>
      </c>
      <c r="AZ33" s="192" t="str">
        <f ca="1">IF(AY33="","",IF(OR(HochsprungResultat[[#This Row],[Resultat]]=Stammdaten!$AX$22,HochsprungResultat[[#This Row],[Resultat]]=Stammdaten!$AX$19),Stammdaten!$AX$19,IF(ISNA(INDEX(INDIRECT(AY33),MATCH(HochsprungGerundet[[#This Row],[Rundung]],INDIRECT(AY33),AY$18))),IF(AY$18=-1,LARGE(INDIRECT(AY33),1),SMALL(INDIRECT(AY33),1)),INDEX(INDIRECT(AY33),MATCH(HochsprungGerundet[[#This Row],[Rundung]],INDIRECT(AY33),AY$18)))))</f>
        <v/>
      </c>
      <c r="BB33" s="18" t="str">
        <f ca="1">IF(HochsprungSkalawert[[#This Row],[Skala-Wert]]="","",REPLACE(INDEX(StdDisziplinen[TabÜberschriftNote],AU$3),FIND("X",INDEX(StdDisziplinen[TabÜberschriftNote],AU$3),1),2,AX33))</f>
        <v/>
      </c>
      <c r="BC33" s="31" t="str">
        <f ca="1">IF(OR(BB33="",HochsprungSkalawert[[#This Row],[Skala-Wert]]=Stammdaten!$AX$19),"",INDEX(INDIRECT(BB33),MATCH(HochsprungSkalawert[[#This Row],[Skala-Wert]],INDIRECT(AY33),0)))</f>
        <v/>
      </c>
      <c r="BD33" s="31"/>
      <c r="BE33" s="597"/>
      <c r="BF33" s="190"/>
      <c r="BG33" s="587">
        <f>IF(BG$16,IF(BH$16=0.5,MROUND(WeitsprungResultat[[#This Row],[Resultat]],BH$16),ROUND(WeitsprungResultat[[#This Row],[Resultat]],BH$16)),ROUNDDOWN(WeitsprungResultat[[#This Row],[Resultat]],BH$16))</f>
        <v>0</v>
      </c>
      <c r="BH33" s="191" t="str">
        <f>IF(OR(Geschlecht[[#This Row],[Geschlecht (Skala)]]="",BE$16=""),"",MID(Geschlecht[[#This Row],[Geschlecht (Skala)]],1,1)&amp;MID(BE$16,1,1))</f>
        <v/>
      </c>
      <c r="BI33" s="190" t="str">
        <f>IF(OR(BH33="",WeitsprungResultat[[#This Row],[Resultat]]=""),"",REPLACE(INDEX(StdDisziplinen[TabÜberschriftResultat],BE$3),FIND("X",INDEX(StdDisziplinen[TabÜberschriftResultat],BE$3),1),2,BH33))</f>
        <v/>
      </c>
      <c r="BJ33" s="192" t="str">
        <f ca="1">IF(BI33="","",IF(OR(WeitsprungResultat[[#This Row],[Resultat]]=Stammdaten!$AX$22,WeitsprungResultat[[#This Row],[Resultat]]=Stammdaten!$AX$19),Stammdaten!$AX$19,IF(ISNA(INDEX(INDIRECT(BI33),MATCH(WeitsprungGerundet[[#This Row],[Rundung]],INDIRECT(BI33),BI$18))),IF(BI$18=-1,LARGE(INDIRECT(BI33),1),SMALL(INDIRECT(BI33),1)),INDEX(INDIRECT(BI33),MATCH(WeitsprungGerundet[[#This Row],[Rundung]],INDIRECT(BI33),BI$18)))))</f>
        <v/>
      </c>
      <c r="BL33" s="18" t="str">
        <f ca="1">IF(WeitsprungSkalawert[[#This Row],[Skala-Wert]]="","",REPLACE(INDEX(StdDisziplinen[TabÜberschriftNote],BE$3),FIND("X",INDEX(StdDisziplinen[TabÜberschriftNote],BE$3),1),2,BH33))</f>
        <v/>
      </c>
      <c r="BM33" s="31" t="str">
        <f ca="1">IF(OR(BL33="",WeitsprungSkalawert[[#This Row],[Skala-Wert]]=Stammdaten!$AX$19),"",INDEX(INDIRECT(BL33),MATCH(WeitsprungSkalawert[[#This Row],[Skala-Wert]],INDIRECT(BI33),0)))</f>
        <v/>
      </c>
      <c r="BN33" s="31"/>
      <c r="BO33" s="37"/>
      <c r="BP33" s="190"/>
      <c r="BQ33" s="154">
        <f>IF(BQ$16,IF(BR$16=0.5,MROUND(BallwurfResultat[[#This Row],[Resultat]],BR$16),ROUND(BallwurfResultat[[#This Row],[Resultat]],BR$16)),ROUNDDOWN(BallwurfResultat[[#This Row],[Resultat]],BR$16))</f>
        <v>0</v>
      </c>
      <c r="BR33" s="191" t="str">
        <f>IF(OR(Geschlecht[[#This Row],[Geschlecht (Skala)]]="",BO$16=""),"",MID(Geschlecht[[#This Row],[Geschlecht (Skala)]],1,1)&amp;MID(BO$16,1,1))</f>
        <v/>
      </c>
      <c r="BS33" s="190" t="str">
        <f>IF(OR(BR33="",BallwurfResultat[[#This Row],[Resultat]]=""),"",REPLACE(INDEX(StdDisziplinen[TabÜberschriftResultat],BO$3),FIND("X",INDEX(StdDisziplinen[TabÜberschriftResultat],BO$3),1),2,BR33))</f>
        <v/>
      </c>
      <c r="BT33" s="45" t="str">
        <f ca="1">IF(BS33="","",IF(OR(BallwurfResultat[[#This Row],[Resultat]]=Stammdaten!$AX$22,BallwurfResultat[[#This Row],[Resultat]]=Stammdaten!$AX$19),Stammdaten!$AX$19,IF(ISNA(INDEX(INDIRECT(BS33),MATCH(BallwurfGerundet[[#This Row],[Rundung]],INDIRECT(BS33),BS$18))),IF(BS$18=-1,LARGE(INDIRECT(BS33),1),SMALL(INDIRECT(BS33),1)),INDEX(INDIRECT(BS33),MATCH(BallwurfGerundet[[#This Row],[Rundung]],INDIRECT(BS33),BS$18)))))</f>
        <v/>
      </c>
      <c r="BV33" s="18" t="str">
        <f ca="1">IF(BallwurfSkalawert[[#This Row],[Skala-Wert]]="","",REPLACE(INDEX(StdDisziplinen[TabÜberschriftNote],BO$3),FIND("X",INDEX(StdDisziplinen[TabÜberschriftNote],BO$3),1),2,BR33))</f>
        <v/>
      </c>
      <c r="BW33" s="31" t="str">
        <f ca="1">IF(OR(BV33="",BallwurfSkalawert[[#This Row],[Skala-Wert]]=Stammdaten!$AX$19),"",INDEX(INDIRECT(BV33),MATCH(BallwurfSkalawert[[#This Row],[Skala-Wert]],INDIRECT(BS33),0)))</f>
        <v/>
      </c>
      <c r="BX33" s="31"/>
      <c r="BY33" s="598"/>
      <c r="BZ33" s="190"/>
      <c r="CA33" s="154">
        <f>IF(CA$16,IF(CB$16=0.5,MROUND(KugelstossenResultat[[#This Row],[Resultat]],CB$16),ROUND(KugelstossenResultat[[#This Row],[Resultat]],CB$16)),ROUNDDOWN(KugelstossenResultat[[#This Row],[Resultat]],CB$16))</f>
        <v>0</v>
      </c>
      <c r="CB33" s="191" t="str">
        <f>IF(OR(Geschlecht[[#This Row],[Geschlecht (Skala)]]="",BY$16=""),"",MID(Geschlecht[[#This Row],[Geschlecht (Skala)]],1,1)&amp;MID(BY$16,1,1))</f>
        <v/>
      </c>
      <c r="CC33" s="190" t="str">
        <f>IF(OR(CB33="",KugelstossenResultat[[#This Row],[Resultat]]=""),"",REPLACE(INDEX(StdDisziplinen[TabÜberschriftResultat],BY$3),FIND("X",INDEX(StdDisziplinen[TabÜberschriftResultat],BY$3),1),2,CB33))</f>
        <v/>
      </c>
      <c r="CD33" s="45" t="str">
        <f ca="1">IF(CC33="","",IF(OR(KugelstossenResultat[[#This Row],[Resultat]]=Stammdaten!$AX$22,KugelstossenResultat[[#This Row],[Resultat]]=Stammdaten!$AX$19),Stammdaten!$AX$19,IF(ISNA(INDEX(INDIRECT(CC33),MATCH(KugelstossenGerundet[[#This Row],[Rundung]],INDIRECT(CC33),CC$18))),IF(CC$18=-1,LARGE(INDIRECT(CC33),1),SMALL(INDIRECT(CC33),1)),INDEX(INDIRECT(CC33),MATCH(KugelstossenGerundet[[#This Row],[Rundung]],INDIRECT(CC33),CC$18)))))</f>
        <v/>
      </c>
      <c r="CF33" s="18" t="str">
        <f ca="1">IF(KugelstossenSkalawert[[#This Row],[Skala-Wert]]="","",REPLACE(INDEX(StdDisziplinen[TabÜberschriftNote],BY$3),FIND("X",INDEX(StdDisziplinen[TabÜberschriftNote],BY$3),1),2,CB33))</f>
        <v/>
      </c>
      <c r="CG33" s="31" t="str">
        <f ca="1">IF(OR(CF33="",KugelstossenSkalawert[[#This Row],[Skala-Wert]]=Stammdaten!$AX$19),"",INDEX(INDIRECT(CF33),MATCH(KugelstossenSkalawert[[#This Row],[Skala-Wert]],INDIRECT(CC33),0)))</f>
        <v/>
      </c>
      <c r="CH33" s="31"/>
      <c r="CI33" s="37"/>
      <c r="CJ33" s="190"/>
      <c r="CK33" s="154">
        <f>IF(CK$16,IF(CL$16=0.5,MROUND(SpeerwurfResultat[[#This Row],[Resultat]],CL$16),ROUND(SpeerwurfResultat[[#This Row],[Resultat]],CL$16)),ROUNDDOWN(SpeerwurfResultat[[#This Row],[Resultat]],CL$16))</f>
        <v>0</v>
      </c>
      <c r="CL33" s="191" t="str">
        <f>IF(OR(Geschlecht[[#This Row],[Geschlecht (Skala)]]="",CI$16=""),"",MID(Geschlecht[[#This Row],[Geschlecht (Skala)]],1,1)&amp;MID(CI$16,1,1))</f>
        <v/>
      </c>
      <c r="CM33" s="190" t="str">
        <f>IF(OR(CL33="",SpeerwurfResultat[[#This Row],[Resultat]]=""),"",REPLACE(INDEX(StdDisziplinen[TabÜberschriftResultat],CI$3),FIND("X",INDEX(StdDisziplinen[TabÜberschriftResultat],CI$3),1),2,CL33))</f>
        <v/>
      </c>
      <c r="CN33" s="45" t="str">
        <f ca="1">IF(CM33="","",IF(OR(SpeerwurfResultat[[#This Row],[Resultat]]=Stammdaten!$AX$22,SpeerwurfResultat[[#This Row],[Resultat]]=Stammdaten!$AX$19),Stammdaten!$AX$19,IF(ISNA(INDEX(INDIRECT(CM33),MATCH(SpeerwurfGerundet[[#This Row],[Rundung]],INDIRECT(CM33),CM$18))),IF(CM$18=-1,LARGE(INDIRECT(CM33),1),SMALL(INDIRECT(CM33),1)),INDEX(INDIRECT(CM33),MATCH(SpeerwurfGerundet[[#This Row],[Rundung]],INDIRECT(CM33),CM$18)))))</f>
        <v/>
      </c>
      <c r="CP33" s="18" t="str">
        <f ca="1">IF(SpeerwurfSkalawert[[#This Row],[Skala-Wert]]="","",REPLACE(INDEX(StdDisziplinen[TabÜberschriftNote],CI$3),FIND("X",INDEX(StdDisziplinen[TabÜberschriftNote],CI$3),1),2,CL33))</f>
        <v/>
      </c>
      <c r="CQ33" s="31" t="str">
        <f ca="1">IF(OR(CP33="",SpeerwurfSkalawert[[#This Row],[Skala-Wert]]=Stammdaten!$AX$19),"",INDEX(INDIRECT(CP33),MATCH(SpeerwurfSkalawert[[#This Row],[Skala-Wert]],INDIRECT(CM33),0)))</f>
        <v/>
      </c>
      <c r="CR33" s="31"/>
      <c r="CS33" s="31" t="str">
        <f t="shared" ca="1" si="50"/>
        <v/>
      </c>
      <c r="CT33" s="31" t="str">
        <f t="shared" ca="1" si="50"/>
        <v/>
      </c>
      <c r="CU33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Row],[Skala-Wert]])&gt;0,MAX(CS33:CT33),99))</f>
        <v>Keine Note</v>
      </c>
      <c r="CV33" s="202" t="str">
        <f t="shared" ca="1" si="51"/>
        <v/>
      </c>
      <c r="CW33" s="202" t="str">
        <f ca="1">IF(CV33=$A$2,CS$10&amp;Stammdaten!$AX$25,IF(CU33=INDEX(StdFehler[],3),CS$10&amp;Stammdaten!$AX$27,INDEX(INDIRECT($B$4),MATCH(CV33,INDIRECT($B$5),0))))</f>
        <v>Sprintdisziplinen nicht durchgeführt</v>
      </c>
      <c r="CX33" s="202" t="str">
        <f ca="1">IFERROR(INDEX(INDIRECT(CX$12),MATCH(CV33,StdDisziplinen[ID],0)),"")</f>
        <v/>
      </c>
      <c r="CY33" s="202" t="e">
        <f t="shared" ca="1" si="52"/>
        <v>#N/A</v>
      </c>
      <c r="CZ33" s="202" t="e">
        <f t="shared" ca="1" si="53"/>
        <v>#N/A</v>
      </c>
      <c r="DA33" s="98" t="str">
        <f t="shared" ca="1" si="223"/>
        <v/>
      </c>
      <c r="DB33" s="202" t="e">
        <f t="shared" ca="1" si="54"/>
        <v>#N/A</v>
      </c>
      <c r="DC33" s="202" t="str">
        <f t="shared" ca="1" si="55"/>
        <v/>
      </c>
      <c r="DD33" s="31" t="str">
        <f t="shared" ca="1" si="56"/>
        <v/>
      </c>
      <c r="DE33" s="31" t="str">
        <f t="shared" ca="1" si="56"/>
        <v/>
      </c>
      <c r="DF33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Row],[Skala-Wert]])&gt;0,MAX(DD33:DE33),99))</f>
        <v>Keine Note</v>
      </c>
      <c r="DG33" s="202" t="str">
        <f t="shared" ca="1" si="57"/>
        <v/>
      </c>
      <c r="DH33" s="202" t="str">
        <f ca="1">IF(DG33=$A$2,DD$10&amp;Stammdaten!$AX$25,IF(DF33=INDEX(StdFehler[],3),DD$10&amp;Stammdaten!$AX$27,INDEX(INDIRECT($B$4),MATCH(DG33,INDIRECT($B$5),0))))</f>
        <v>Ausdauerdisziplinen nicht durchgeführt</v>
      </c>
      <c r="DI33" s="202" t="str">
        <f ca="1">IFERROR(INDEX(INDIRECT(DI$12),MATCH(DG33,StdDisziplinen[ID],0)),"")</f>
        <v/>
      </c>
      <c r="DJ33" s="202" t="e">
        <f t="shared" ca="1" si="58"/>
        <v>#N/A</v>
      </c>
      <c r="DK33" s="202" t="e">
        <f t="shared" ca="1" si="59"/>
        <v>#N/A</v>
      </c>
      <c r="DL33" s="96" t="str">
        <f t="shared" ca="1" si="60"/>
        <v/>
      </c>
      <c r="DM33" s="202" t="e">
        <f t="shared" ca="1" si="61"/>
        <v>#N/A</v>
      </c>
      <c r="DN33" s="202" t="str">
        <f t="shared" ca="1" si="62"/>
        <v/>
      </c>
      <c r="DO33" s="31" t="str">
        <f t="shared" ca="1" si="63"/>
        <v/>
      </c>
      <c r="DP33" s="31" t="str">
        <f t="shared" ca="1" si="63"/>
        <v/>
      </c>
      <c r="DQ33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Row],[Skala-Wert]])&gt;0,MAX(DO33:DP33),99))</f>
        <v>Keine Note</v>
      </c>
      <c r="DR33" s="202" t="str">
        <f t="shared" ca="1" si="64"/>
        <v/>
      </c>
      <c r="DS33" s="202" t="str">
        <f ca="1">IF(DR33=$A$2,DO$10&amp;Stammdaten!$AX$25,IF(DQ33=INDEX(StdFehler[],3),DO$10&amp;Stammdaten!$AX$27,INDEX(INDIRECT($B$4),MATCH(DR33,INDIRECT($B$5),0))))</f>
        <v>Sprungdisziplinen nicht durchgeführt</v>
      </c>
      <c r="DT33" s="202" t="str">
        <f ca="1">IFERROR(INDEX(INDIRECT(DT$12),MATCH(DR33,StdDisziplinen[ID],0)),"")</f>
        <v/>
      </c>
      <c r="DU33" s="202" t="e">
        <f t="shared" ca="1" si="65"/>
        <v>#N/A</v>
      </c>
      <c r="DV33" s="202" t="e">
        <f t="shared" ca="1" si="66"/>
        <v>#N/A</v>
      </c>
      <c r="DW33" s="202" t="str">
        <f t="shared" ca="1" si="67"/>
        <v/>
      </c>
      <c r="DX33" s="202" t="e">
        <f t="shared" ca="1" si="68"/>
        <v>#N/A</v>
      </c>
      <c r="DY33" s="202" t="str">
        <f t="shared" ca="1" si="69"/>
        <v/>
      </c>
      <c r="DZ33" s="31" t="str">
        <f ca="1">IF(BallwurfSkalawert[[#This Row],[Skala-Wert]]=$A$3,$A$2,IF(ISNUMBER(BallwurfSkalawert[[#This Row],[Skala-Wert]]),BallwurfNote[[#This Row],[Note]],"!"))</f>
        <v>!</v>
      </c>
      <c r="EA33" s="31" t="str">
        <f ca="1">IF(KugelstossenSkalawert[[#This Row],[Skala-Wert]]=$A$3,$A$2,IF(ISNUMBER(KugelstossenSkalawert[[#This Row],[Skala-Wert]]),KugelstossenNote[[#This Row],[Note]],"!"))</f>
        <v>!</v>
      </c>
      <c r="EB33" s="31" t="str">
        <f ca="1">IF(SpeerwurfSkalawert[[#This Row],[Skala-Wert]]=$A$3,$A$2,IF(ISNUMBER(SpeerwurfSkalawert[[#This Row],[Skala-Wert]]),SpeerwurfNote[[#This Row],[Note]],"!"))</f>
        <v>!</v>
      </c>
      <c r="EC33" s="95" t="str">
        <f ca="1">IF(ED33&gt;0,MAX(DZ33:EB33),IF(EE33&gt;0,99,INDEX(StdFehler[StdFehler],3)))</f>
        <v>Keine Note</v>
      </c>
      <c r="ED33" s="202">
        <f t="shared" ca="1" si="70"/>
        <v>0</v>
      </c>
      <c r="EE33" s="202">
        <f t="shared" ca="1" si="71"/>
        <v>0</v>
      </c>
      <c r="EF33" s="202" t="str">
        <f t="shared" ca="1" si="72"/>
        <v/>
      </c>
      <c r="EG33" s="202" t="str">
        <f ca="1">IF(EF33=$A$2,DZ$10&amp;Stammdaten!$AX$25,IF(EC33=INDEX(StdFehler[],3),DZ$10&amp;Stammdaten!$AX$27,INDEX(INDIRECT($B$4),MATCH(EF33,INDIRECT($B$5),0))))</f>
        <v>Wurfdisziplinen nicht durchgeführt</v>
      </c>
      <c r="EH33" s="202" t="str">
        <f ca="1">IFERROR(INDEX(INDIRECT(EH$12),MATCH(EF33,StdDisziplinen[ID],0)),"")</f>
        <v/>
      </c>
      <c r="EI33" s="202" t="e">
        <f t="shared" ca="1" si="73"/>
        <v>#N/A</v>
      </c>
      <c r="EJ33" s="202" t="e">
        <f t="shared" ca="1" si="74"/>
        <v>#N/A</v>
      </c>
      <c r="EK33" s="98" t="str">
        <f t="shared" ca="1" si="75"/>
        <v/>
      </c>
      <c r="EL33" s="202" t="e">
        <f t="shared" ca="1" si="76"/>
        <v>#N/A</v>
      </c>
      <c r="EM33" s="202" t="str">
        <f t="shared" ca="1" si="77"/>
        <v/>
      </c>
      <c r="EN33" s="200">
        <f t="shared" ca="1" si="1"/>
        <v>0</v>
      </c>
      <c r="EO33" s="202">
        <f t="shared" ca="1" si="78"/>
        <v>0</v>
      </c>
      <c r="EP33" s="96">
        <f t="shared" ca="1" si="2"/>
        <v>0</v>
      </c>
      <c r="EQ33" s="96">
        <f t="shared" ca="1" si="3"/>
        <v>0</v>
      </c>
      <c r="ER33" s="96">
        <f t="shared" ca="1" si="4"/>
        <v>0</v>
      </c>
      <c r="ES33" s="96">
        <f t="shared" ca="1" si="5"/>
        <v>0</v>
      </c>
      <c r="ET33" s="202">
        <f t="shared" ca="1" si="79"/>
        <v>0</v>
      </c>
      <c r="EU33" s="202" t="str">
        <f ca="1">IF($EO33=$FA$4,Stammdaten!$AX$19,IF(COUNTIF($EP33:$ES33,0)&lt;&gt;0,INDEX(StdFehler[StdFehler],4),ROUND(SUM($ET33/$EN33)/$FC$4,0)*$FC$4))</f>
        <v>Zu wenige Noten</v>
      </c>
      <c r="EV33" s="202" t="str">
        <f t="shared" ca="1" si="6"/>
        <v>Zu wenige Noten</v>
      </c>
      <c r="EW33" s="202" t="str">
        <f t="shared" ca="1" si="80"/>
        <v>Zu wenige Noten</v>
      </c>
      <c r="EX33" s="202" t="str">
        <f t="shared" ca="1" si="80"/>
        <v>Zu wenige Noten</v>
      </c>
      <c r="EY33" s="202" t="str">
        <f t="shared" ca="1" si="80"/>
        <v>Zu wenige Noten</v>
      </c>
      <c r="EZ33" s="202" t="str">
        <f t="shared" ca="1" si="81"/>
        <v>Zu wenige Noten</v>
      </c>
      <c r="FA33" s="202" t="str">
        <f t="shared" ca="1" si="82"/>
        <v>Zu wenige Noten</v>
      </c>
      <c r="FB33" s="31"/>
      <c r="FC33" s="56" t="str">
        <f t="shared" ca="1" si="83"/>
        <v>Zu wenige Noten</v>
      </c>
      <c r="FD33" s="31"/>
      <c r="FE33" s="597"/>
      <c r="FF33" s="190"/>
      <c r="FJ33" s="31"/>
      <c r="FK33" s="597"/>
      <c r="FL33" s="190"/>
      <c r="FP33" s="31"/>
      <c r="FQ33" s="597"/>
      <c r="FR33" s="190"/>
      <c r="FV33" s="31"/>
      <c r="FW33" s="597"/>
      <c r="FX33" s="190"/>
      <c r="GB33" s="31"/>
      <c r="GC33" s="597"/>
      <c r="GD33" s="190"/>
      <c r="GF33" s="154"/>
      <c r="GH33" s="31"/>
      <c r="GI33" s="597"/>
      <c r="GJ33" s="190"/>
      <c r="GN33" s="45"/>
      <c r="GO33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3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3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3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3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3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3" s="202">
        <f t="shared" si="7"/>
        <v>0</v>
      </c>
      <c r="GV33" s="202">
        <f t="shared" si="8"/>
        <v>0</v>
      </c>
      <c r="GW33" s="202">
        <f t="shared" si="84"/>
        <v>0</v>
      </c>
      <c r="GX33" s="200" t="str">
        <f t="shared" si="85"/>
        <v>!</v>
      </c>
      <c r="GY33" s="200" t="str">
        <f t="shared" si="9"/>
        <v>!</v>
      </c>
      <c r="GZ33" s="200" t="str">
        <f t="shared" si="10"/>
        <v>!</v>
      </c>
      <c r="HA33" s="244" t="str">
        <f t="shared" si="86"/>
        <v>nd</v>
      </c>
      <c r="HB33" s="244" t="str">
        <f t="shared" si="87"/>
        <v>nd</v>
      </c>
      <c r="HC33" s="244" t="str">
        <f t="shared" si="88"/>
        <v>nd</v>
      </c>
      <c r="HD33" s="244" t="str">
        <f t="shared" si="89"/>
        <v>nd</v>
      </c>
      <c r="HE33" s="244" t="str">
        <f t="shared" si="90"/>
        <v>nd</v>
      </c>
      <c r="HF33" s="244" t="str">
        <f t="shared" si="91"/>
        <v>nd</v>
      </c>
      <c r="HG33" s="202" t="b">
        <f t="shared" si="92"/>
        <v>0</v>
      </c>
      <c r="HH33" s="202">
        <f t="shared" si="93"/>
        <v>1</v>
      </c>
      <c r="HI33" s="202">
        <f t="shared" si="94"/>
        <v>0</v>
      </c>
      <c r="HJ33" s="200" t="str">
        <f t="shared" si="95"/>
        <v/>
      </c>
      <c r="HK33" s="200" t="str">
        <f t="shared" si="96"/>
        <v/>
      </c>
      <c r="HL33" s="200">
        <f t="shared" si="97"/>
        <v>0</v>
      </c>
      <c r="HM33" s="202" t="str">
        <f t="shared" si="98"/>
        <v/>
      </c>
      <c r="HN33" s="200" t="str">
        <f t="shared" si="99"/>
        <v/>
      </c>
      <c r="HO33" s="200" t="str">
        <f t="shared" si="100"/>
        <v/>
      </c>
      <c r="HP33" s="200" t="str">
        <f t="shared" si="101"/>
        <v/>
      </c>
      <c r="HQ33" s="242" t="str">
        <f t="shared" si="102"/>
        <v/>
      </c>
      <c r="HR33" s="242" t="str">
        <f t="shared" si="103"/>
        <v/>
      </c>
      <c r="HS33" s="242" t="str">
        <f t="shared" si="104"/>
        <v/>
      </c>
      <c r="HT33" s="242" t="str">
        <f t="shared" ca="1" si="105"/>
        <v>Erstes Gerät</v>
      </c>
      <c r="HU33" s="242" t="str">
        <f ca="1">IF(HT33=$HS$12,Stammdaten!$AY$27,IF(HW33=$A$2,TRIM(Stammdaten!$AX$25),""))</f>
        <v>nicht durchgeführt</v>
      </c>
      <c r="HV33" s="242" t="str">
        <f t="shared" ca="1" si="106"/>
        <v/>
      </c>
      <c r="HW33" s="277" t="str">
        <f t="shared" si="11"/>
        <v/>
      </c>
      <c r="HX33" s="202" t="str">
        <f t="shared" si="107"/>
        <v/>
      </c>
      <c r="HY33" s="202" t="str">
        <f t="shared" ca="1" si="108"/>
        <v/>
      </c>
      <c r="HZ33" s="202" t="str">
        <f t="shared" ca="1" si="109"/>
        <v>StdDisziplinen[MaxTextSt]</v>
      </c>
      <c r="IA33" s="202" t="str">
        <f t="shared" ca="1" si="12"/>
        <v/>
      </c>
      <c r="IB33" s="202" t="b">
        <f t="shared" si="110"/>
        <v>0</v>
      </c>
      <c r="IC33" s="202" t="str">
        <f t="shared" si="111"/>
        <v/>
      </c>
      <c r="ID33" s="202" t="str">
        <f t="shared" si="112"/>
        <v/>
      </c>
      <c r="IE33" s="202" t="str">
        <f t="shared" si="113"/>
        <v/>
      </c>
      <c r="IF33" s="202" t="str">
        <f t="shared" si="114"/>
        <v/>
      </c>
      <c r="IG33" s="242" t="str">
        <f t="shared" si="115"/>
        <v/>
      </c>
      <c r="IH33" s="242" t="str">
        <f t="shared" si="116"/>
        <v/>
      </c>
      <c r="II33" s="242" t="str">
        <f t="shared" ca="1" si="13"/>
        <v>Zweites Gerät</v>
      </c>
      <c r="IJ33" s="242" t="str">
        <f ca="1">IF(II33=$IH$12,Stammdaten!$AY$27,IF(IL33=$A$2,TRIM(Stammdaten!$AX$25),""))</f>
        <v>nicht durchgeführt</v>
      </c>
      <c r="IK33" s="242" t="str">
        <f t="shared" ca="1" si="117"/>
        <v/>
      </c>
      <c r="IL33" s="200" t="str">
        <f t="shared" si="14"/>
        <v/>
      </c>
      <c r="IM33" s="202" t="str">
        <f t="shared" si="118"/>
        <v/>
      </c>
      <c r="IN33" s="202" t="str">
        <f t="shared" ca="1" si="119"/>
        <v/>
      </c>
      <c r="IO33" s="202" t="str">
        <f t="shared" ca="1" si="120"/>
        <v>StdDisziplinen[MaxTextSt]</v>
      </c>
      <c r="IP33" s="202" t="str">
        <f t="shared" ca="1" si="121"/>
        <v/>
      </c>
      <c r="IQ33" s="202" t="b">
        <f t="shared" si="122"/>
        <v>0</v>
      </c>
      <c r="IR33" s="242" t="str">
        <f t="shared" ca="1" si="15"/>
        <v>Drittes Gerät</v>
      </c>
      <c r="IS33" s="242" t="str">
        <f ca="1">IF(IR33=$IR$12,MID(Stammdaten!$AX$27,2,LEN(Stammdaten!$AX$27)),IF(IU33=$A$2,TRIM(Stammdaten!$AX$25),""))</f>
        <v>nicht durchgeführt</v>
      </c>
      <c r="IT33" s="242" t="str">
        <f t="shared" ca="1" si="16"/>
        <v/>
      </c>
      <c r="IU33" s="200" t="str">
        <f t="shared" si="17"/>
        <v/>
      </c>
      <c r="IV33" s="202" t="str">
        <f t="shared" si="123"/>
        <v/>
      </c>
      <c r="IW33" s="202" t="str">
        <f t="shared" ca="1" si="124"/>
        <v/>
      </c>
      <c r="IX33" s="202" t="str">
        <f t="shared" ca="1" si="125"/>
        <v>StdDisziplinen[MaxTextSt]</v>
      </c>
      <c r="IY33" s="202" t="str">
        <f t="shared" ca="1" si="18"/>
        <v/>
      </c>
      <c r="IZ33" s="200" t="str">
        <f>IF(NOT(GW33),INDEX(StdFehler[StdFehler],4),IF(COUNTIF(GX33:GZ33,$A$2)&gt;=$IZ$4,$A$3,SUM(GX33:GZ33)))</f>
        <v>Zu wenige Noten</v>
      </c>
      <c r="JA33" s="31"/>
      <c r="JB33" s="587" t="e">
        <f t="shared" si="19"/>
        <v>#VALUE!</v>
      </c>
      <c r="JC33" s="191" t="str">
        <f>IF(OR(Geschlecht[[#This Row],[Geschlecht (Skala)]]="",IZ33=""),"",MID(Geschlecht[[#This Row],[Geschlecht (Skala)]],1,1)&amp;MID($FE$16,1,1))</f>
        <v/>
      </c>
      <c r="JD33" s="190" t="str">
        <f>IF(OR(JC33="",IZ33=""),"",REPLACE(INDEX(StdDisziplinen[TabÜberschriftResultat],$FE$3),FIND("X",INDEX(StdDisziplinen[TabÜberschriftResultat],$FE$3),1),2,JC33))</f>
        <v/>
      </c>
      <c r="JE33" s="192" t="str">
        <f ca="1">IF(OR(JD33="",IZ33=Stammdaten!$AZ$5),"",IF(OR(IZ33=Stammdaten!$AX$22,IZ33=Stammdaten!$AX$19),Stammdaten!$AX$19,IF(ISNA(INDEX(INDIRECT(JD33),MATCH(GeräteturnenGerundet[[#This Row],[Rundung]],INDIRECT(JD33),$JD$16))),IF($JD$16=-1,LARGE(INDIRECT(JD33),1),SMALL(INDIRECT(JD33),1)),INDEX(INDIRECT(JD33),MATCH(GeräteturnenGerundet[[#This Row],[Rundung]],INDIRECT(JD33),$JD$16)))))</f>
        <v/>
      </c>
      <c r="JG33" s="18" t="str">
        <f ca="1">IF(GeräteturnenSkalawert[[#This Row],[Skala-Wert]]="","",REPLACE(INDEX(StdDisziplinen[TabÜberschriftNote],$FE$3),FIND("X",INDEX(StdDisziplinen[TabÜberschriftNote],$FE$3),1),2,JC33))</f>
        <v/>
      </c>
      <c r="JH33" s="45" t="str">
        <f ca="1">IF(OR(JG33="",GeräteturnenSkalawert[[#This Row],[Skala-Wert]]=Stammdaten!$AX$19),"",INDEX(INDIRECT(JG33),MATCH(GeräteturnenSkalawert[[#This Row],[Skala-Wert]],INDIRECT(JD33),0)))</f>
        <v/>
      </c>
      <c r="JI33" s="31"/>
      <c r="JJ33" s="597"/>
      <c r="JK33" s="190"/>
      <c r="JL33" s="587">
        <f>IF(JL$16,IF(JM$16=0.5,MROUND(ParkourResultat[[#This Row],[Resultat]],JM$16),ROUND(ParkourResultat[[#This Row],[Resultat]],JM$16)),ROUNDDOWN(ParkourResultat[[#This Row],[Resultat]],JM$16))</f>
        <v>0</v>
      </c>
      <c r="JM33" s="191" t="str">
        <f>IF(OR(Geschlecht[[#This Row],[Geschlecht (Skala)]]="",JJ$16=""),"",MID(Geschlecht[[#This Row],[Geschlecht (Skala)]],1,1)&amp;MID(JJ$16,1,1))</f>
        <v/>
      </c>
      <c r="JN33" s="190" t="str">
        <f>IF(OR(JM33="",ParkourResultat[[#This Row],[Resultat]]=""),"",REPLACE(INDEX(StdDisziplinen[TabÜberschriftResultat],JJ$3),FIND("X",INDEX(StdDisziplinen[TabÜberschriftResultat],JJ$3),1),2,JM33))</f>
        <v/>
      </c>
      <c r="JO33" s="192" t="str">
        <f ca="1">IF(JN33="","",IF(OR(ParkourResultat[[#This Row],[Resultat]]=Stammdaten!$AX$22,ParkourResultat[[#This Row],[Resultat]]=Stammdaten!$AX$19),Stammdaten!$AX$19,IF(ISNA(INDEX(INDIRECT(JN33),MATCH(ParkourGerundet[[#This Row],[Rundung]],INDIRECT(JN33),JN$18))),IF(JN$18=-1,LARGE(INDIRECT(JN33),1),SMALL(INDIRECT(JN33),1)),INDEX(INDIRECT(JN33),MATCH(ParkourGerundet[[#This Row],[Rundung]],INDIRECT(JN33),JN$18)))))</f>
        <v/>
      </c>
      <c r="JQ33" s="18" t="str">
        <f ca="1">IF(ParkourSkalawert[[#This Row],[Skala-Wert]]="","",REPLACE(INDEX(StdDisziplinen[TabÜberschriftNote],JJ$3),FIND("X",INDEX(StdDisziplinen[TabÜberschriftNote],JJ$3),1),2,JM33))</f>
        <v/>
      </c>
      <c r="JR33" s="31" t="str">
        <f ca="1">IF(OR(JQ33="",ParkourSkalawert[[#This Row],[Skala-Wert]]=Stammdaten!$AX$19),"",INDEX(INDIRECT(JQ33),MATCH(ParkourSkalawert[[#This Row],[Skala-Wert]],INDIRECT(JN33),0)))</f>
        <v/>
      </c>
      <c r="JS33" s="96"/>
      <c r="JT33" s="47" t="str">
        <f ca="1">IF(OR(ISNUMBER(ParkourSkalawert[[#This Row],[Skala-Wert]]),ParkourSkalawert[[#This Row],[Skala-Wert]]=$A$3),INDEX(INDIRECT($JU$1),MATCH($JJ$3,INDIRECT($B$5),0)),"")</f>
        <v/>
      </c>
      <c r="JU33" s="200" t="str">
        <f t="shared" ca="1" si="126"/>
        <v>StdDisziplinen[MaxTextSt]</v>
      </c>
      <c r="JV33" s="200" t="str">
        <f t="shared" ca="1" si="127"/>
        <v/>
      </c>
      <c r="JW33" s="98">
        <f ca="1">IF(GeräteturnenSkalawert[[#This Row],[Skala-Wert]]=$A$3,$A$2,IF(GeräteturnenNote[[#This Row],[Note]]="",0,GeräteturnenNote[[#This Row],[Note]]))</f>
        <v>0</v>
      </c>
      <c r="JX33" s="96">
        <f ca="1">IF(ParkourSkalawert[[#This Row],[Skala-Wert]]=$A$3,$A$2,IF(ParkourNote[[#This Row],[Note]]="",0,ParkourNote[[#This Row],[Note]]))</f>
        <v>0</v>
      </c>
      <c r="JY33" s="200">
        <f t="shared" ca="1" si="128"/>
        <v>0</v>
      </c>
      <c r="JZ33" s="200">
        <f t="shared" ca="1" si="129"/>
        <v>0</v>
      </c>
      <c r="KA33" s="202">
        <f t="shared" ca="1" si="130"/>
        <v>0</v>
      </c>
      <c r="KB33" s="98" t="str">
        <f t="shared" ca="1" si="20"/>
        <v>!</v>
      </c>
      <c r="KC33" s="98" t="str">
        <f t="shared" ca="1" si="21"/>
        <v>!</v>
      </c>
      <c r="KD33" s="202" t="str">
        <f ca="1">IF(NOT(KA33),INDEX(StdFehler[StdFehler],4),IF(JZ33=$KA$12,$A$3,IF(JW33=$A$2,JX33,IF(JX33=$A$2,JW33,CONCATENATE(JW33,", ",JX33)))))</f>
        <v>Zu wenige Noten</v>
      </c>
      <c r="KE33" s="202" t="str">
        <f t="shared" ca="1" si="131"/>
        <v>Zu wenige Noten</v>
      </c>
      <c r="KF33" s="31"/>
      <c r="KG33" s="56" t="str">
        <f ca="1">IF(NOT(KA33),INDEX(StdFehler[StdFehler],4),IF(JZ33=$KA$12,$A$3,ROUND(AVERAGE(KB33:KC33)/$KG$4,0)*$KG$4))</f>
        <v>Zu wenige Noten</v>
      </c>
      <c r="KH33" s="31"/>
      <c r="KI33" s="599"/>
      <c r="KJ33" s="190"/>
      <c r="KK33" s="586">
        <f>IF(KK$16,IF(KL$16=0.5,MROUND(TanzenResultat[[#This Row],[Resultat]],KL$16),ROUND(TanzenResultat[[#This Row],[Resultat]],KL$16)),ROUNDDOWN(TanzenResultat[[#This Row],[Resultat]],KL$16))</f>
        <v>0</v>
      </c>
      <c r="KL33" s="191" t="str">
        <f>IF(OR(Geschlecht[[#This Row],[Geschlecht (Skala)]]="",KI$16=""),"",MID(Geschlecht[[#This Row],[Geschlecht (Skala)]],1,1)&amp;MID(KI$16,1,1))</f>
        <v/>
      </c>
      <c r="KM33" s="190" t="str">
        <f>IF(OR(KL33="",TanzenResultat[[#This Row],[Resultat]]=""),"",REPLACE(INDEX(StdDisziplinen[TabÜberschriftResultat],KI$3),FIND("X",INDEX(StdDisziplinen[TabÜberschriftResultat],KI$3),1),2,KL33))</f>
        <v/>
      </c>
      <c r="KN33" s="31" t="str">
        <f ca="1">IF(KM33="","",IF(OR(TanzenResultat[[#This Row],[Resultat]]=Stammdaten!$AX$22,TanzenResultat[[#This Row],[Resultat]]=Stammdaten!$AX$19),Stammdaten!$AX$19,IF(ISNA(INDEX(INDIRECT(KM33),MATCH(TanzenGerundet[[#This Row],[Rundung]],INDIRECT(KM33),KM$18))),IF(KM$18=-1,LARGE(INDIRECT(KM33),1),SMALL(INDIRECT(KM33),1)),INDEX(INDIRECT(KM33),MATCH(TanzenGerundet[[#This Row],[Rundung]],INDIRECT(KM33),KM$18)))))</f>
        <v/>
      </c>
      <c r="KP33" s="18" t="str">
        <f ca="1">IF(TanzenSkalawert[[#This Row],[Skala-Wert]]="","",REPLACE(INDEX(StdDisziplinen[TabÜberschriftNote],KI$3),FIND("X",INDEX(StdDisziplinen[TabÜberschriftNote],KI$3),1),2,KL33))</f>
        <v/>
      </c>
      <c r="KQ33" s="45" t="str">
        <f ca="1">IF(OR(KP33="",TanzenSkalawert[[#This Row],[Skala-Wert]]=Stammdaten!$AX$19),"",INDEX(INDIRECT(KP33),MATCH(TanzenSkalawert[[#This Row],[Skala-Wert]],INDIRECT(KM33),0)))</f>
        <v/>
      </c>
      <c r="KR33" s="31"/>
      <c r="KS33" s="597"/>
      <c r="KT33" s="190"/>
      <c r="KU33" s="587">
        <f>IF(KU$16,IF(KV$16=0.5,MROUND(RopeSkippingResultat[[#This Row],[Resultat]],KV$16),ROUND(RopeSkippingResultat[[#This Row],[Resultat]],KV$16)),ROUNDDOWN(RopeSkippingResultat[[#This Row],[Resultat]],KV$16))</f>
        <v>0</v>
      </c>
      <c r="KV33" s="191" t="str">
        <f>IF(OR(Geschlecht[[#This Row],[Geschlecht (Skala)]]="",KS$16=""),"",MID(Geschlecht[[#This Row],[Geschlecht (Skala)]],1,1)&amp;MID(KS$16,1,1))</f>
        <v/>
      </c>
      <c r="KW33" s="190" t="str">
        <f>IF(OR(KV33="",RopeSkippingResultat[[#This Row],[Resultat]]=""),"",REPLACE(INDEX(StdDisziplinen[TabÜberschriftResultat],KS$3),FIND("X",INDEX(StdDisziplinen[TabÜberschriftResultat],KS$3),1),2,KV33))</f>
        <v/>
      </c>
      <c r="KX33" s="192" t="str">
        <f ca="1">IF(KW33="","",IF(OR(RopeSkippingResultat[[#This Row],[Resultat]]=Stammdaten!$AX$22,RopeSkippingResultat[[#This Row],[Resultat]]=Stammdaten!$AX$19),Stammdaten!$AX$19,IF(ISNA(INDEX(INDIRECT(KW33),MATCH(RopeSkippingGerundet[[#This Row],[Rundung]],INDIRECT(KW33),KW$18))),IF(KW$18=-1,LARGE(INDIRECT(KW33),1),SMALL(INDIRECT(KW33),1)),INDEX(INDIRECT(KW33),MATCH(RopeSkippingGerundet[[#This Row],[Rundung]],INDIRECT(KW33),KW$18)))))</f>
        <v/>
      </c>
      <c r="KZ33" s="18" t="str">
        <f ca="1">IF(RopeSkippingSkalawert[[#This Row],[Skala-Wert]]="","",REPLACE(INDEX(StdDisziplinen[TabÜberschriftNote],KS$3),FIND("X",INDEX(StdDisziplinen[TabÜberschriftNote],KS$3),1),2,KV33))</f>
        <v/>
      </c>
      <c r="LA33" s="45" t="str">
        <f ca="1">IF(OR(KZ33="",RopeSkippingSkalawert[[#This Row],[Skala-Wert]]=Stammdaten!$AX$19),"",INDEX(INDIRECT(KZ33),MATCH(RopeSkippingSkalawert[[#This Row],[Skala-Wert]],INDIRECT(KW33),0)))</f>
        <v/>
      </c>
      <c r="LB33" s="31"/>
      <c r="LC33" s="599"/>
      <c r="LD33" s="190"/>
      <c r="LE33" s="586">
        <f>IF(LE$16,IF(LF$16=0.5,MROUND(AerobicResultat[[#This Row],[Resultat]],LF$16),ROUND(AerobicResultat[[#This Row],[Resultat]],LF$16)),ROUNDDOWN(AerobicResultat[[#This Row],[Resultat]],LF$16))</f>
        <v>0</v>
      </c>
      <c r="LF33" s="191" t="str">
        <f>IF(OR(Geschlecht[[#This Row],[Geschlecht (Skala)]]="",LC$16=""),"",MID(Geschlecht[[#This Row],[Geschlecht (Skala)]],1,1)&amp;MID(LC$16,1,1))</f>
        <v/>
      </c>
      <c r="LG33" s="190" t="str">
        <f>IF(OR(LF33="",AerobicResultat[[#This Row],[Resultat]]=""),"",REPLACE(INDEX(StdDisziplinen[TabÜberschriftResultat],LC$3),FIND("X",INDEX(StdDisziplinen[TabÜberschriftResultat],LC$3),1),2,LF33))</f>
        <v/>
      </c>
      <c r="LH33" s="31" t="str">
        <f ca="1">IF(LG33="","",IF(OR(AerobicResultat[[#This Row],[Resultat]]=Stammdaten!$AX$22,AerobicResultat[[#This Row],[Resultat]]=Stammdaten!$AX$19),Stammdaten!$AX$19,IF(ISNA(INDEX(INDIRECT(LG33),MATCH(AerobicGerundet[[#This Row],[Rundung]],INDIRECT(LG33),LG$18))),IF(LG$18=-1,LARGE(INDIRECT(LG33),1),SMALL(INDIRECT(LG33),1)),INDEX(INDIRECT(LG33),MATCH(AerobicGerundet[[#This Row],[Rundung]],INDIRECT(LG33),LG$18)))))</f>
        <v/>
      </c>
      <c r="LJ33" s="18" t="str">
        <f ca="1">IF(AerobicSkalawert[[#This Row],[Skala-Wert]]="","",REPLACE(INDEX(StdDisziplinen[TabÜberschriftNote],LC$3),FIND("X",INDEX(StdDisziplinen[TabÜberschriftNote],LC$3),1),2,LF33))</f>
        <v/>
      </c>
      <c r="LK33" s="45" t="str">
        <f ca="1">IF(OR(LJ33="",AerobicSkalawert[[#This Row],[Skala-Wert]]=Stammdaten!$AX$19),"",INDEX(INDIRECT(LJ33),MATCH(AerobicSkalawert[[#This Row],[Skala-Wert]],INDIRECT(LG33),0)))</f>
        <v/>
      </c>
      <c r="LL33" s="31"/>
      <c r="LM33" s="45" t="str">
        <f ca="1">IF(TanzenSkalawert[[#This Row],[Skala-Wert]]=$A$3,$A$2,IF(ISNUMBER(TanzenSkalawert[[#This Row],[Skala-Wert]]),TanzenNote[[#This Row],[Note]],"!"))</f>
        <v>!</v>
      </c>
      <c r="LN33" s="45" t="str">
        <f ca="1">IF(RopeSkippingSkalawert[[#This Row],[Skala-Wert]]=$A$3,$A$2,IF(ISNUMBER(RopeSkippingSkalawert[[#This Row],[Skala-Wert]]),RopeSkippingNote[[#This Row],[Note]],"!"))</f>
        <v>!</v>
      </c>
      <c r="LO33" s="45" t="str">
        <f ca="1">IF(AerobicSkalawert[[#This Row],[Skala-Wert]]=$A$3,$A$2,IF(ISNUMBER(AerobicSkalawert[[#This Row],[Skala-Wert]]),AerobicNote[[#This Row],[Note]],"!"))</f>
        <v>!</v>
      </c>
      <c r="LP33" s="36">
        <f t="shared" ca="1" si="132"/>
        <v>0</v>
      </c>
      <c r="LQ33" s="36">
        <f t="shared" ca="1" si="133"/>
        <v>0</v>
      </c>
      <c r="LR33" s="244" t="str">
        <f t="shared" ca="1" si="22"/>
        <v>nd</v>
      </c>
      <c r="LS33" s="244" t="str">
        <f t="shared" ca="1" si="23"/>
        <v>nd</v>
      </c>
      <c r="LT33" s="244" t="str">
        <f t="shared" ca="1" si="24"/>
        <v>nd</v>
      </c>
      <c r="LU33" s="242" t="str">
        <f t="shared" ca="1" si="25"/>
        <v/>
      </c>
      <c r="LV33" s="242" t="str">
        <f t="shared" ca="1" si="134"/>
        <v/>
      </c>
      <c r="LW33" s="242" t="str">
        <f t="shared" ca="1" si="135"/>
        <v/>
      </c>
      <c r="LX33" s="242" t="str">
        <f ca="1">IF(LW33="",Stammdaten!$AM$4,INDEX(INDIRECT($B$4),MATCH($LW33,INDIRECT($B$5),0)))</f>
        <v>Darstellen und Tanzen</v>
      </c>
      <c r="LY33" s="242" t="str">
        <f ca="1">IF(LW33="",Stammdaten!$AY$27,IF(ISNUMBER(LU33),LX33,IF(ISNUMBER(LV33),TRIM(Stammdaten!$AX$25),"")))</f>
        <v>nicht durchgeführt</v>
      </c>
      <c r="LZ33" s="242" t="str">
        <f t="shared" ca="1" si="136"/>
        <v>Darstellen und Tanzen</v>
      </c>
      <c r="MA33" s="242" t="str">
        <f t="shared" ca="1" si="137"/>
        <v/>
      </c>
      <c r="MB33" s="242" t="str">
        <f t="shared" ca="1" si="26"/>
        <v>Darstellen und TanzenResultat[@Resultat]</v>
      </c>
      <c r="MC33" s="274" t="str">
        <f t="shared" ca="1" si="138"/>
        <v/>
      </c>
      <c r="MD33" s="242" t="str">
        <f t="shared" ca="1" si="139"/>
        <v>Darstellen und TanzenSkalawert[@[Skala-Wert]]</v>
      </c>
      <c r="ME33" s="274" t="str">
        <f t="shared" ca="1" si="140"/>
        <v/>
      </c>
      <c r="MF33" s="47" t="str">
        <f t="shared" ca="1" si="27"/>
        <v/>
      </c>
      <c r="MG33" s="200" t="str">
        <f t="shared" ca="1" si="141"/>
        <v>StdDisziplinen[MaxTextSt]</v>
      </c>
      <c r="MH33" s="200" t="str">
        <f t="shared" ca="1" si="142"/>
        <v/>
      </c>
      <c r="MI33" s="45"/>
      <c r="MJ33" s="98" t="str">
        <f ca="1">IF(LP33&gt;0,MAX(LM33:LO33),IF(LQ33&gt;0,$A$3,INDEX(StdFehler[StdFehler],4)))</f>
        <v>Zu wenige Noten</v>
      </c>
      <c r="MK33" s="45"/>
      <c r="ML33" s="37"/>
      <c r="MM33" s="190"/>
      <c r="MN33" s="586">
        <f>IF(MN$16,IF(MO$16=0.5,MROUND(BasketballResultat[[#This Row],[Resultat]],MO$16),ROUND(BasketballResultat[[#This Row],[Resultat]],MO$16)),ROUNDDOWN(BasketballResultat[[#This Row],[Resultat]],MO$16))</f>
        <v>0</v>
      </c>
      <c r="MO33" s="191" t="str">
        <f>IF(OR(Geschlecht[[#This Row],[Geschlecht (Skala)]]="",ML$16=""),"",MID(Geschlecht[[#This Row],[Geschlecht (Skala)]],1,1)&amp;MID(ML$16,1,1))</f>
        <v/>
      </c>
      <c r="MP33" s="190" t="str">
        <f>IF(OR(MO33="",BasketballResultat[[#This Row],[Resultat]]=""),"",REPLACE(INDEX(StdDisziplinen[TabÜberschriftResultat],ML$3),FIND("X",INDEX(StdDisziplinen[TabÜberschriftResultat],ML$3),1),2,MO33))</f>
        <v/>
      </c>
      <c r="MQ33" s="31" t="str">
        <f ca="1">IF(MP33="","",IF(OR(BasketballResultat[[#This Row],[Resultat]]=Stammdaten!$AX$22,BasketballResultat[[#This Row],[Resultat]]=Stammdaten!$AX$19),Stammdaten!$AX$19,IF(ISNA(INDEX(INDIRECT(MP33),MATCH(BasketballGerundet[[#This Row],[Rundung]],INDIRECT(MP33),MP$18))),IF(MP$18=-1,LARGE(INDIRECT(MP33),1),SMALL(INDIRECT(MP33),1)),INDEX(INDIRECT(MP33),MATCH(BasketballGerundet[[#This Row],[Rundung]],INDIRECT(MP33),MP$18)))))</f>
        <v/>
      </c>
      <c r="MS33" s="18" t="str">
        <f ca="1">IF(BasketballSkalawert[[#This Row],[Skala-Wert]]="","",REPLACE(INDEX(StdDisziplinen[TabÜberschriftNote],ML$3),FIND("X",INDEX(StdDisziplinen[TabÜberschriftNote],ML$3),1),2,MO33))</f>
        <v/>
      </c>
      <c r="MT33" s="31" t="str">
        <f ca="1">IF(OR(MS33="",BasketballSkalawert[[#This Row],[Skala-Wert]]=Stammdaten!$AX$19),"",INDEX(INDIRECT(MS33),MATCH(BasketballSkalawert[[#This Row],[Skala-Wert]],INDIRECT(MP33),0)))</f>
        <v/>
      </c>
      <c r="MU33" s="31"/>
      <c r="MV33" s="37"/>
      <c r="MW33" s="190"/>
      <c r="MX33" s="586">
        <f>IF(MX$16,IF(MY$16=0.5,MROUND(FussballResultat[[#This Row],[Resultat]],MY$16),ROUND(FussballResultat[[#This Row],[Resultat]],MY$16)),ROUNDDOWN(FussballResultat[[#This Row],[Resultat]],MY$16))</f>
        <v>0</v>
      </c>
      <c r="MY33" s="191" t="str">
        <f>IF(OR(Geschlecht[[#This Row],[Geschlecht (Skala)]]="",MV$16=""),"",MID(Geschlecht[[#This Row],[Geschlecht (Skala)]],1,1)&amp;MID(MV$16,1,1))</f>
        <v/>
      </c>
      <c r="MZ33" s="190" t="str">
        <f>IF(OR(MY33="",FussballResultat[[#This Row],[Resultat]]=""),"",REPLACE(INDEX(StdDisziplinen[TabÜberschriftResultat],MV$3),FIND("X",INDEX(StdDisziplinen[TabÜberschriftResultat],MV$3),1),2,MY33))</f>
        <v/>
      </c>
      <c r="NA33" s="31" t="str">
        <f ca="1">IF(MZ33="","",IF(OR(FussballResultat[[#This Row],[Resultat]]=Stammdaten!$AX$22,FussballResultat[[#This Row],[Resultat]]=Stammdaten!$AX$19),Stammdaten!$AX$19,IF(ISNA(INDEX(INDIRECT(MZ33),MATCH(FussballGerundet[[#This Row],[Rundung]],INDIRECT(MZ33),MZ$18))),IF(MZ$18=-1,LARGE(INDIRECT(MZ33),1),SMALL(INDIRECT(MZ33),1)),INDEX(INDIRECT(MZ33),MATCH(FussballGerundet[[#This Row],[Rundung]],INDIRECT(MZ33),MZ$18)))))</f>
        <v/>
      </c>
      <c r="NC33" s="18" t="str">
        <f ca="1">IF(FussballSkalawert[[#This Row],[Skala-Wert]]="","",REPLACE(INDEX(StdDisziplinen[TabÜberschriftNote],MV$3),FIND("X",INDEX(StdDisziplinen[TabÜberschriftNote],MV$3),1),2,MY33))</f>
        <v/>
      </c>
      <c r="ND33" s="31" t="str">
        <f ca="1">IF(OR(NC33="",FussballSkalawert[[#This Row],[Skala-Wert]]=Stammdaten!$AX$19),"",INDEX(INDIRECT(NC33),MATCH(FussballSkalawert[[#This Row],[Skala-Wert]],INDIRECT(MZ33),0)))</f>
        <v/>
      </c>
      <c r="NE33" s="31"/>
      <c r="NF33" s="37"/>
      <c r="NG33" s="190"/>
      <c r="NH33" s="586">
        <f>IF(NH$16,IF(NI$16=0.5,MROUND(HandballResultat[[#This Row],[Resultat]],NI$16),ROUND(HandballResultat[[#This Row],[Resultat]],NI$16)),ROUNDDOWN(HandballResultat[[#This Row],[Resultat]],NI$16))</f>
        <v>0</v>
      </c>
      <c r="NI33" s="191" t="str">
        <f>IF(OR(Geschlecht[[#This Row],[Geschlecht (Skala)]]="",NF$16=""),"",MID(Geschlecht[[#This Row],[Geschlecht (Skala)]],1,1)&amp;MID(NF$16,1,1))</f>
        <v/>
      </c>
      <c r="NJ33" s="190" t="str">
        <f>IF(OR(NI33="",HandballResultat[[#This Row],[Resultat]]=""),"",REPLACE(INDEX(StdDisziplinen[TabÜberschriftResultat],NF$3),FIND("X",INDEX(StdDisziplinen[TabÜberschriftResultat],NF$3),1),2,NI33))</f>
        <v/>
      </c>
      <c r="NK33" s="31" t="str">
        <f ca="1">IF(NJ33="","",IF(OR(HandballResultat[[#This Row],[Resultat]]=Stammdaten!$AX$22,HandballResultat[[#This Row],[Resultat]]=Stammdaten!$AX$19),Stammdaten!$AX$19,IF(ISNA(INDEX(INDIRECT(NJ33),MATCH(HandballGerundet[[#This Row],[Rundung]],INDIRECT(NJ33),NJ$18))),IF(NJ$18=-1,LARGE(INDIRECT(NJ33),1),SMALL(INDIRECT(NJ33),1)),INDEX(INDIRECT(NJ33),MATCH(HandballGerundet[[#This Row],[Rundung]],INDIRECT(NJ33),NJ$18)))))</f>
        <v/>
      </c>
      <c r="NM33" s="18" t="str">
        <f ca="1">IF(HandballSkalawert[[#This Row],[Skala-Wert]]="","",REPLACE(INDEX(StdDisziplinen[TabÜberschriftNote],NF$3),FIND("X",INDEX(StdDisziplinen[TabÜberschriftNote],NF$3),1),2,NI33))</f>
        <v/>
      </c>
      <c r="NN33" s="31" t="str">
        <f ca="1">IF(OR(NM33="",HandballSkalawert[[#This Row],[Skala-Wert]]=Stammdaten!$AX$19),"",INDEX(INDIRECT(NM33),MATCH(HandballSkalawert[[#This Row],[Skala-Wert]],INDIRECT(NJ33),0)))</f>
        <v/>
      </c>
      <c r="NO33" s="31"/>
      <c r="NP33" s="37"/>
      <c r="NQ33" s="190"/>
      <c r="NR33" s="586">
        <f>IF(NR$16,IF(NS$16=0.5,MROUND(UnihockeyResultat[[#This Row],[Resultat]],NS$16),ROUND(UnihockeyResultat[[#This Row],[Resultat]],NS$16)),ROUNDDOWN(UnihockeyResultat[[#This Row],[Resultat]],NS$16))</f>
        <v>0</v>
      </c>
      <c r="NS33" s="191" t="str">
        <f>IF(OR(Geschlecht[[#This Row],[Geschlecht (Skala)]]="",NP$16=""),"",MID(Geschlecht[[#This Row],[Geschlecht (Skala)]],1,1)&amp;MID(NP$16,1,1))</f>
        <v/>
      </c>
      <c r="NT33" s="190" t="str">
        <f>IF(OR(NS33="",UnihockeyResultat[[#This Row],[Resultat]]=""),"",REPLACE(INDEX(StdDisziplinen[TabÜberschriftResultat],NP$3),FIND("X",INDEX(StdDisziplinen[TabÜberschriftResultat],NP$3),1),2,NS33))</f>
        <v/>
      </c>
      <c r="NU33" s="31" t="str">
        <f ca="1">IF(NT33="","",IF(OR(UnihockeyResultat[[#This Row],[Resultat]]=Stammdaten!$AX$22,UnihockeyResultat[[#This Row],[Resultat]]=Stammdaten!$AX$19),Stammdaten!$AX$19,IF(ISNA(INDEX(INDIRECT(NT33),MATCH(UnihockeyGerundet[[#This Row],[Rundung]],INDIRECT(NT33),NT$18))),IF(NT$18=-1,LARGE(INDIRECT(NT33),1),SMALL(INDIRECT(NT33),1)),INDEX(INDIRECT(NT33),MATCH(UnihockeyGerundet[[#This Row],[Rundung]],INDIRECT(NT33),NT$18)))))</f>
        <v/>
      </c>
      <c r="NW33" s="18" t="str">
        <f ca="1">IF(UnihockeySkalawert[[#This Row],[Skala-Wert]]="","",REPLACE(INDEX(StdDisziplinen[TabÜberschriftNote],NP$3),FIND("X",INDEX(StdDisziplinen[TabÜberschriftNote],NP$3),1),2,NS33))</f>
        <v/>
      </c>
      <c r="NX33" s="31" t="str">
        <f ca="1">IF(OR(NW33="",UnihockeySkalawert[[#This Row],[Skala-Wert]]=Stammdaten!$AX$19),"",INDEX(INDIRECT(NW33),MATCH(UnihockeySkalawert[[#This Row],[Skala-Wert]],INDIRECT(NT33),0)))</f>
        <v/>
      </c>
      <c r="NY33" s="31"/>
      <c r="NZ33" s="597"/>
      <c r="OA33" s="190"/>
      <c r="OB33" s="587">
        <f>IF(OB$16,IF(OC$16=0.5,MROUND(VolleyballResultat[[#This Row],[Resultat]],OC$16),ROUND(VolleyballResultat[[#This Row],[Resultat]],OC$16)),ROUNDDOWN(VolleyballResultat[[#This Row],[Resultat]],OC$16))</f>
        <v>0</v>
      </c>
      <c r="OC33" s="191" t="str">
        <f>IF(OR(Geschlecht[[#This Row],[Geschlecht (Skala)]]="",NZ$16=""),"",MID(Geschlecht[[#This Row],[Geschlecht (Skala)]],1,1)&amp;MID(NZ$16,1,1))</f>
        <v/>
      </c>
      <c r="OD33" s="190" t="str">
        <f>IF(OR(OC33="",VolleyballResultat[[#This Row],[Resultat]]=""),"",REPLACE(INDEX(StdDisziplinen[TabÜberschriftResultat],NZ$3),FIND("X",INDEX(StdDisziplinen[TabÜberschriftResultat],NZ$3),1),2,OC33))</f>
        <v/>
      </c>
      <c r="OE33" s="192" t="str">
        <f ca="1">IF(OD33="","",IF(OR(VolleyballResultat[[#This Row],[Resultat]]=Stammdaten!$AX$22,VolleyballResultat[[#This Row],[Resultat]]=Stammdaten!$AX$19),Stammdaten!$AX$19,IF(ISNA(INDEX(INDIRECT(OD33),MATCH(VolleyballGerundet[[#This Row],[Rundung]],INDIRECT(OD33),OD$18))),IF(OD$18=-1,LARGE(INDIRECT(OD33),1),SMALL(INDIRECT(OD33),1)),INDEX(INDIRECT(OD33),MATCH(VolleyballGerundet[[#This Row],[Rundung]],INDIRECT(OD33),OD$18)))))</f>
        <v/>
      </c>
      <c r="OG33" s="18" t="str">
        <f ca="1">IF(VolleyballSkalawert[[#This Row],[Skala-Wert]]="","",REPLACE(INDEX(StdDisziplinen[TabÜberschriftNote],NZ$3),FIND("X",INDEX(StdDisziplinen[TabÜberschriftNote],NZ$3),1),2,OC33))</f>
        <v/>
      </c>
      <c r="OH33" s="31" t="str">
        <f ca="1">IF(OR(OG33="",VolleyballSkalawert[[#This Row],[Skala-Wert]]=Stammdaten!$AX$19),"",INDEX(INDIRECT(OG33),MATCH(VolleyballSkalawert[[#This Row],[Skala-Wert]],INDIRECT(OD33),0)))</f>
        <v/>
      </c>
      <c r="OI33" s="45"/>
      <c r="OJ33" s="31">
        <f ca="1">IF(BasketballSkalawert[[#This Row],[Skala-Wert]]=$A$3,$A$2,IF(BasketballNote[[#This Row],[Note]]="",0,BasketballNote[[#This Row],[Note]]))</f>
        <v>0</v>
      </c>
      <c r="OK33" s="31">
        <f ca="1">IF(FussballSkalawert[[#This Row],[Skala-Wert]]=$A$3,$A$2,IF(FussballNote[[#This Row],[Note]]="",0,FussballNote[[#This Row],[Note]]))</f>
        <v>0</v>
      </c>
      <c r="OL33" s="31">
        <f ca="1">IF(HandballSkalawert[[#This Row],[Skala-Wert]]=$A$3,$A$2,IF(HandballNote[[#This Row],[Note]]="",0,HandballNote[[#This Row],[Note]]))</f>
        <v>0</v>
      </c>
      <c r="OM33" s="31">
        <f ca="1">IF(UnihockeySkalawert[[#This Row],[Skala-Wert]]=$A$3,$A$2,IF(UnihockeyNote[[#This Row],[Note]]="",0,UnihockeyNote[[#This Row],[Note]]))</f>
        <v>0</v>
      </c>
      <c r="ON33" s="31">
        <f ca="1">IF(VolleyballSkalawert[[#This Row],[Skala-Wert]]=$A$3,$A$2,IF(VolleyballNote[[#This Row],[Note]]="",0,VolleyballNote[[#This Row],[Note]]))</f>
        <v>0</v>
      </c>
      <c r="OO33" s="202">
        <f t="shared" ca="1" si="28"/>
        <v>0</v>
      </c>
      <c r="OP33" s="202">
        <f t="shared" ca="1" si="29"/>
        <v>0</v>
      </c>
      <c r="OQ33" s="202">
        <f t="shared" ca="1" si="143"/>
        <v>0</v>
      </c>
      <c r="OR33" s="96" t="str">
        <f t="shared" ca="1" si="144"/>
        <v>!</v>
      </c>
      <c r="OS33" s="96" t="str">
        <f t="shared" ca="1" si="30"/>
        <v>!</v>
      </c>
      <c r="OT33" s="96" t="str">
        <f t="shared" ca="1" si="31"/>
        <v>!</v>
      </c>
      <c r="OU33" s="96" t="str">
        <f ca="1">IF(NOT(OQ33),INDEX(StdFehler[StdFehler],4),IF(COUNTIF(OR33:OT33,$A$2)&gt;=$OQ$13,$A$3,ROUND(AVERAGE(OR33:OT33)/$RX$4,0)*$RX$4))</f>
        <v>Zu wenige Noten</v>
      </c>
      <c r="OV33" s="244" t="str">
        <f t="shared" ca="1" si="145"/>
        <v>nd</v>
      </c>
      <c r="OW33" s="244" t="str">
        <f t="shared" ca="1" si="146"/>
        <v>nd</v>
      </c>
      <c r="OX33" s="244" t="str">
        <f t="shared" ca="1" si="147"/>
        <v>nd</v>
      </c>
      <c r="OY33" s="244" t="str">
        <f t="shared" ca="1" si="148"/>
        <v>nd</v>
      </c>
      <c r="OZ33" s="244" t="str">
        <f t="shared" ca="1" si="149"/>
        <v>nd</v>
      </c>
      <c r="PA33" s="202" t="b">
        <f t="shared" ca="1" si="150"/>
        <v>0</v>
      </c>
      <c r="PB33" s="202">
        <f t="shared" ca="1" si="151"/>
        <v>1</v>
      </c>
      <c r="PC33" s="202">
        <f t="shared" ca="1" si="152"/>
        <v>0</v>
      </c>
      <c r="PD33" s="96" t="str">
        <f t="shared" ca="1" si="153"/>
        <v/>
      </c>
      <c r="PE33" s="96" t="str">
        <f t="shared" ca="1" si="154"/>
        <v/>
      </c>
      <c r="PF33" s="200">
        <f t="shared" ca="1" si="155"/>
        <v>0</v>
      </c>
      <c r="PG33" s="202" t="str">
        <f t="shared" ca="1" si="156"/>
        <v/>
      </c>
      <c r="PH33" s="200" t="str">
        <f t="shared" ca="1" si="157"/>
        <v/>
      </c>
      <c r="PI33" s="200" t="str">
        <f t="shared" ca="1" si="158"/>
        <v/>
      </c>
      <c r="PJ33" s="200" t="str">
        <f t="shared" ca="1" si="159"/>
        <v/>
      </c>
      <c r="PK33" s="242" t="str">
        <f t="shared" ca="1" si="160"/>
        <v/>
      </c>
      <c r="PL33" s="242" t="str">
        <f t="shared" ca="1" si="161"/>
        <v/>
      </c>
      <c r="PM33" s="242" t="str">
        <f t="shared" ca="1" si="162"/>
        <v/>
      </c>
      <c r="PN33" s="242" t="str">
        <f t="shared" ca="1" si="163"/>
        <v>Erste Spielsportart</v>
      </c>
      <c r="PO33" s="242" t="str">
        <f ca="1">IF(PN33=$PM$11,Stammdaten!$AY$27,IF(PR33=$A$2,TRIM(Stammdaten!$AX$25),""))</f>
        <v>nicht durchgeführt</v>
      </c>
      <c r="PP33" s="242" t="str">
        <f t="shared" ca="1" si="164"/>
        <v/>
      </c>
      <c r="PQ33" s="202" t="str">
        <f t="shared" ca="1" si="165"/>
        <v>Erste SpielsportartResultat[@Resultat]</v>
      </c>
      <c r="PR33" s="98" t="str">
        <f t="shared" ca="1" si="166"/>
        <v/>
      </c>
      <c r="PS33" s="202" t="str">
        <f t="shared" ca="1" si="167"/>
        <v/>
      </c>
      <c r="PT33" s="202" t="str">
        <f t="shared" ca="1" si="168"/>
        <v>Erste SpielsportartSkalawert[@[Skala-Wert]]</v>
      </c>
      <c r="PU33" s="98" t="str">
        <f t="shared" ca="1" si="169"/>
        <v/>
      </c>
      <c r="PV33" s="202" t="str">
        <f t="shared" ca="1" si="170"/>
        <v/>
      </c>
      <c r="PW33" s="202" t="str">
        <f t="shared" ca="1" si="171"/>
        <v/>
      </c>
      <c r="PX33" s="202" t="str">
        <f t="shared" ca="1" si="172"/>
        <v>StdDisziplinen[MaxTextSt]</v>
      </c>
      <c r="PY33" s="202" t="str">
        <f t="shared" ca="1" si="173"/>
        <v/>
      </c>
      <c r="PZ33" s="202" t="b">
        <f t="shared" ca="1" si="174"/>
        <v>0</v>
      </c>
      <c r="QA33" s="202" t="str">
        <f t="shared" ca="1" si="175"/>
        <v/>
      </c>
      <c r="QB33" s="202" t="str">
        <f t="shared" ca="1" si="32"/>
        <v/>
      </c>
      <c r="QC33" s="202" t="str">
        <f t="shared" ca="1" si="176"/>
        <v/>
      </c>
      <c r="QD33" s="202" t="str">
        <f t="shared" ca="1" si="177"/>
        <v/>
      </c>
      <c r="QE33" s="242" t="str">
        <f t="shared" ca="1" si="178"/>
        <v/>
      </c>
      <c r="QF33" s="242" t="str">
        <f t="shared" ca="1" si="179"/>
        <v/>
      </c>
      <c r="QG33" s="242" t="str">
        <f t="shared" ca="1" si="180"/>
        <v>Zweite Spielsportart</v>
      </c>
      <c r="QH33" s="242" t="str">
        <f ca="1">IF(QG33=$QF$11,Stammdaten!$AY$27,IF(QK33=$A$2,TRIM(Stammdaten!$AX$25),""))</f>
        <v>nicht durchgeführt</v>
      </c>
      <c r="QI33" s="242" t="str">
        <f t="shared" ca="1" si="181"/>
        <v/>
      </c>
      <c r="QJ33" s="202" t="str">
        <f t="shared" ca="1" si="182"/>
        <v>Zweite SpielsportartResultat[@Resultat]</v>
      </c>
      <c r="QK33" s="98" t="str">
        <f t="shared" ca="1" si="183"/>
        <v/>
      </c>
      <c r="QL33" s="202" t="str">
        <f t="shared" ca="1" si="184"/>
        <v/>
      </c>
      <c r="QM33" s="202" t="str">
        <f t="shared" ca="1" si="185"/>
        <v>Zweite SpielsportartSkalawert[@[Skala-Wert]]</v>
      </c>
      <c r="QN33" s="98" t="str">
        <f t="shared" ca="1" si="186"/>
        <v/>
      </c>
      <c r="QO33" s="202" t="str">
        <f t="shared" ca="1" si="187"/>
        <v/>
      </c>
      <c r="QP33" s="202" t="str">
        <f t="shared" ca="1" si="188"/>
        <v/>
      </c>
      <c r="QQ33" s="202" t="str">
        <f t="shared" ca="1" si="189"/>
        <v>StdDisziplinen[MaxTextSt]</v>
      </c>
      <c r="QR33" s="202" t="str">
        <f t="shared" ca="1" si="190"/>
        <v/>
      </c>
      <c r="QS33" s="202" t="b">
        <f t="shared" ca="1" si="191"/>
        <v>0</v>
      </c>
      <c r="QT33" s="242" t="str">
        <f t="shared" ca="1" si="33"/>
        <v>Dritte Spielsportart</v>
      </c>
      <c r="QU33" s="242" t="str">
        <f ca="1">IF(QT33=$QT$11,MID(Stammdaten!$AX$27,2,LEN(Stammdaten!$AX$27)),IF(QX33=$A$2,TRIM(Stammdaten!$AX$25),""))</f>
        <v>nicht durchgeführt</v>
      </c>
      <c r="QV33" s="242" t="str">
        <f t="shared" ca="1" si="34"/>
        <v/>
      </c>
      <c r="QW33" s="202" t="str">
        <f t="shared" ca="1" si="192"/>
        <v>Dritte SpielsportartResultat[@Resultat]</v>
      </c>
      <c r="QX33" s="98" t="str">
        <f t="shared" ca="1" si="193"/>
        <v/>
      </c>
      <c r="QY33" s="202" t="str">
        <f t="shared" ca="1" si="35"/>
        <v/>
      </c>
      <c r="QZ33" s="202" t="str">
        <f t="shared" ca="1" si="194"/>
        <v>Dritte SpielsportartSkalawert[@[Skala-Wert]]</v>
      </c>
      <c r="RA33" s="98" t="str">
        <f t="shared" ca="1" si="224"/>
        <v/>
      </c>
      <c r="RB33" s="202" t="str">
        <f t="shared" ca="1" si="36"/>
        <v/>
      </c>
      <c r="RC33" s="202" t="str">
        <f t="shared" ca="1" si="196"/>
        <v/>
      </c>
      <c r="RD33" s="202" t="str">
        <f t="shared" ca="1" si="197"/>
        <v>StdDisziplinen[MaxTextSt]</v>
      </c>
      <c r="RE33" s="202" t="str">
        <f t="shared" ca="1" si="37"/>
        <v/>
      </c>
      <c r="RF33" s="244">
        <f t="shared" ca="1" si="38"/>
        <v>99</v>
      </c>
      <c r="RG33" s="244">
        <f t="shared" ca="1" si="39"/>
        <v>99</v>
      </c>
      <c r="RH33" s="244">
        <f t="shared" ca="1" si="40"/>
        <v>99</v>
      </c>
      <c r="RI33" s="244">
        <f t="shared" ca="1" si="41"/>
        <v>99</v>
      </c>
      <c r="RJ33" s="244">
        <f t="shared" ca="1" si="42"/>
        <v>99</v>
      </c>
      <c r="RK33" s="244">
        <f t="shared" ca="1" si="198"/>
        <v>99</v>
      </c>
      <c r="RL33" s="244">
        <f t="shared" ca="1" si="199"/>
        <v>99</v>
      </c>
      <c r="RM33" s="244">
        <f t="shared" ca="1" si="200"/>
        <v>99</v>
      </c>
      <c r="RN33" s="244">
        <f t="shared" ca="1" si="201"/>
        <v>99</v>
      </c>
      <c r="RO33" s="244">
        <f t="shared" ca="1" si="202"/>
        <v>99</v>
      </c>
      <c r="RP33" s="202" t="str">
        <f t="shared" ca="1" si="43"/>
        <v>Zu wenige Noten</v>
      </c>
      <c r="RQ33" s="202" t="str">
        <f t="shared" ca="1" si="203"/>
        <v>Zu wenige Noten</v>
      </c>
      <c r="RR33" s="202" t="str">
        <f t="shared" ca="1" si="203"/>
        <v>Zu wenige Noten</v>
      </c>
      <c r="RS33" s="202" t="str">
        <f t="shared" ca="1" si="204"/>
        <v>Zu wenige Noten</v>
      </c>
      <c r="RT33" s="202" t="str">
        <f t="shared" ca="1" si="204"/>
        <v>Zu wenige Noten</v>
      </c>
      <c r="RU33" s="202" t="str">
        <f t="shared" ca="1" si="205"/>
        <v>Zu wenige Noten</v>
      </c>
      <c r="RV33" s="202" t="str">
        <f t="shared" ca="1" si="206"/>
        <v>Zu wenige Noten</v>
      </c>
      <c r="RW33" s="31"/>
      <c r="RX33" s="56" t="str">
        <f t="shared" ca="1" si="44"/>
        <v>Zu wenige Noten</v>
      </c>
      <c r="RY33" s="31"/>
      <c r="RZ33" s="31" t="str">
        <f t="shared" ca="1" si="45"/>
        <v>Zu wenige Noten</v>
      </c>
      <c r="SA33" s="31" t="str">
        <f t="shared" ca="1" si="46"/>
        <v>Zu wenige Noten</v>
      </c>
      <c r="SB33" s="45" t="str">
        <f t="shared" ca="1" si="47"/>
        <v>Zu wenige Noten</v>
      </c>
      <c r="SC33" s="31" t="str">
        <f t="shared" ca="1" si="207"/>
        <v>Zu wenige Noten</v>
      </c>
      <c r="SD33" s="31" t="str">
        <f t="shared" ca="1" si="208"/>
        <v>Zu wenige Noten</v>
      </c>
      <c r="SE33" s="31" t="str">
        <f t="shared" ca="1" si="48"/>
        <v>Zu wenige Noten</v>
      </c>
      <c r="SF33" s="31" t="str">
        <f t="shared" ca="1" si="209"/>
        <v>Zu wenige Noten</v>
      </c>
      <c r="SG33" s="31" t="str">
        <f t="shared" ca="1" si="48"/>
        <v>Zu wenige Noten</v>
      </c>
      <c r="SH33" s="36">
        <f t="shared" ca="1" si="210"/>
        <v>0</v>
      </c>
      <c r="SI33" s="36">
        <f t="shared" ca="1" si="211"/>
        <v>0</v>
      </c>
      <c r="SJ33" s="36">
        <f t="shared" ca="1" si="212"/>
        <v>0</v>
      </c>
      <c r="SK33" s="31">
        <f t="shared" ca="1" si="213"/>
        <v>99</v>
      </c>
      <c r="SL33" s="31">
        <f t="shared" ca="1" si="214"/>
        <v>99</v>
      </c>
      <c r="SM33" s="36" t="str">
        <f t="shared" ca="1" si="215"/>
        <v>99.0</v>
      </c>
      <c r="SN33" s="31">
        <f t="shared" ca="1" si="216"/>
        <v>99</v>
      </c>
      <c r="SO33" s="36" t="str">
        <f ca="1">IF(NOT(SJ33),INDEX(StdFehler[StdFehler],4),IF(SI33=$SJ$13,$A$3,CONCATENATE(TEXT(SK33,"#.0"),", ",TEXT(SL33,"#.0"),", ",SM33,", ",TEXT(SN33,"#.0"))))</f>
        <v>Zu wenige Noten</v>
      </c>
      <c r="SP33" s="36" t="str">
        <f t="shared" ca="1" si="49"/>
        <v>Zu wenige Noten</v>
      </c>
      <c r="SQ33" s="36" t="str">
        <f t="shared" ca="1" si="49"/>
        <v>Zu wenige Noten</v>
      </c>
      <c r="SR33" s="36" t="str">
        <f t="shared" ca="1" si="49"/>
        <v>Zu wenige Noten</v>
      </c>
      <c r="SS33" s="36" t="str">
        <f t="shared" ca="1" si="49"/>
        <v>Zu wenige Noten</v>
      </c>
      <c r="ST33" s="36" t="str">
        <f t="shared" ca="1" si="217"/>
        <v>Zu wenige Noten</v>
      </c>
      <c r="SU33" s="36"/>
      <c r="SV33" s="214" t="str">
        <f t="shared" si="218"/>
        <v>D</v>
      </c>
      <c r="SW33" s="36"/>
      <c r="SX33" s="214" t="str">
        <f t="shared" si="219"/>
        <v>D</v>
      </c>
      <c r="SY33" s="36"/>
      <c r="SZ33" s="214" t="str">
        <f t="shared" si="220"/>
        <v>D</v>
      </c>
      <c r="TA33" s="36"/>
      <c r="TB33" s="214" t="str">
        <f t="shared" si="221"/>
        <v>D</v>
      </c>
      <c r="TC33" s="31"/>
      <c r="TD33" s="36" t="str">
        <f t="shared" ca="1" si="222"/>
        <v>Zu wenige Noten</v>
      </c>
      <c r="TE33" s="31"/>
      <c r="TF33" s="193" t="str">
        <f ca="1">IF(NOT(SJ33),INDEX(StdFehler[StdFehler],4),IF(SI33=$TF$4,$A$3,ROUND(AVERAGE(RZ33:SC33)/$TF$5,0)*$TF$5))</f>
        <v>Zu wenige Noten</v>
      </c>
      <c r="TH33" s="595" t="str">
        <f>IF(OR($TH$18=Stammdaten!$AX$20,$TH$18=""),Stammdaten!$AX$20,$TH$18)</f>
        <v>Disziplin</v>
      </c>
      <c r="TI33" s="33"/>
      <c r="TJ33" s="33" t="str">
        <f>IF(OR(Geschlecht[[#This Row],[Geschlecht (Skala)]]="",TH33="",TH33=Stammdaten!$AX$20),"",REPLACE(INDEX(StdDisziplinen[TabÜberschriftResultat],TH$3),FIND("XX",INDEX(StdDisziplinen[TabÜberschriftResultat],TH$3),1),2,Geschlecht[[#This Row],[Geschlecht (Skala)]]))</f>
        <v/>
      </c>
      <c r="TK33" s="596"/>
      <c r="TM33" s="37"/>
      <c r="TN33" s="40"/>
      <c r="TO33" s="587">
        <f>IF(TO$16,IF(TP$16=0.5,MROUND(SchwimmenResultat[[#This Row],[Resultat]],TP$16),ROUND(SchwimmenResultat[[#This Row],[Resultat]],TP$16)),ROUNDDOWN(SchwimmenResultat[[#This Row],[Resultat]],TP$16))</f>
        <v>0</v>
      </c>
      <c r="TP33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3" s="153" t="str">
        <f ca="1">IF(TP33="","",IF(OR(SchwimmenResultat[[#This Row],[Resultat]]=Stammdaten!$AX$22,SchwimmenResultat[[#This Row],[Resultat]]=Stammdaten!$AX$19),Stammdaten!$AX$19,IF(ISNA(INDEX(INDIRECT(TP33),MATCH(SchwimmenGerundet[[#This Row],[Rundung]],INDIRECT(TP33),TP$18))),IF(TP$18=-1,LARGE(INDIRECT(TP33),1),SMALL(INDIRECT(TP33),1)),INDEX(INDIRECT(TP33),MATCH(SchwimmenGerundet[[#This Row],[Rundung]],INDIRECT(TP33),TP$18)))))</f>
        <v/>
      </c>
      <c r="TR33" s="33" t="str">
        <f>IF(OR(TP33="",SchwimmenResultat[[#This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3" s="33"/>
      <c r="TT33" s="36" t="str">
        <f ca="1">IF(OR(TR33="",SchwimmenSkalawert[[#This Row],[Skala-Wert]]=Stammdaten!$AX$19),"",INDEX(INDIRECT(TR33),MATCH(SchwimmenSkalawert[[#This Row],[Skala-Wert]],INDIRECT(TP33),0)))</f>
        <v/>
      </c>
      <c r="TU33" s="36"/>
      <c r="TV33" s="190" t="str">
        <f>IF(ZwölfMinLaufHalleResultat[[#This Row],[Resultat]]=0,"",ZwölfMinLaufHalleResultat[[#This Row],[Resultat]])</f>
        <v/>
      </c>
      <c r="TW33" s="190"/>
      <c r="TX33" s="31" t="str">
        <f ca="1">ZwölfMinLaufHalleSkalawert[[#This Row],[Skala-Wert]]</f>
        <v/>
      </c>
      <c r="TZ33" s="31" t="str">
        <f ca="1">ZwölfMinLaufHalleNote[[#This Row],[Note]]</f>
        <v/>
      </c>
      <c r="UA33" s="31"/>
      <c r="UB33" s="190" t="str">
        <f>IF(ZwölfMinLaufimFreienResultat[[#This Row],[Resultat]]=0,"",ZwölfMinLaufimFreienResultat[[#This Row],[Resultat]])</f>
        <v/>
      </c>
      <c r="UC33" s="190"/>
      <c r="UD33" s="192" t="str">
        <f ca="1">ZwölfMinLaufimFreienSkalawert[[#This Row],[Skala-Wert]]</f>
        <v/>
      </c>
      <c r="UF33" s="31" t="str">
        <f ca="1">ZwölfMinLaufimFreienNote[[#This Row],[Note]]</f>
        <v/>
      </c>
      <c r="UG33" s="31"/>
      <c r="UH33" s="597"/>
      <c r="UI33" s="190"/>
      <c r="UJ33" s="587">
        <f>IF(UJ$16,IF(UK$16=0.5,MROUND(BeweglichkeitResultat[[#This Row],[Resultat]],UK$16),ROUND(BeweglichkeitResultat[[#This Row],[Resultat]],UK$16)),ROUNDDOWN(BeweglichkeitResultat[[#This Row],[Resultat]],UK$16))</f>
        <v>0</v>
      </c>
      <c r="UK33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3" s="192" t="str">
        <f ca="1">IF(UK33="","",IF(OR(BeweglichkeitResultat[[#This Row],[Resultat]]=Stammdaten!$AX$22,BeweglichkeitResultat[[#This Row],[Resultat]]=Stammdaten!$AX$19),Stammdaten!$AX$19,IF(ISNA(INDEX(INDIRECT(UK33),MATCH(BeweglichkeitGerundet[[#This Row],[Rundung]],INDIRECT(UK33),UK$18))),IF(UK$18=-1,LARGE(INDIRECT(UK33),1),SMALL(INDIRECT(UK33),1)),INDEX(INDIRECT(UK33),MATCH(BeweglichkeitGerundet[[#This Row],[Rundung]],INDIRECT(UK33),UK$18)))))</f>
        <v/>
      </c>
      <c r="UN33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3" s="36" t="str">
        <f ca="1">IF(OR(UK33="",BeweglichkeitSkalawert[[#This Row],[Skala-Wert]]=Stammdaten!$AX$19),"",INDEX(INDIRECT(UN33),MATCH(BeweglichkeitSkalawert[[#This Row],[Skala-Wert]],INDIRECT(UK33),0)))</f>
        <v/>
      </c>
      <c r="UP33" s="31"/>
      <c r="UQ33" s="597"/>
      <c r="UR33" s="190"/>
      <c r="US33" s="587">
        <f>IF(US$16,IF(UT$16=0.5,MROUND(RumpfkraftResultat[[#This Row],[Resultat]],UT$16),ROUND(RumpfkraftResultat[[#This Row],[Resultat]],UT$16)),ROUNDDOWN(RumpfkraftResultat[[#This Row],[Resultat]],UT$16))</f>
        <v>0</v>
      </c>
      <c r="UT33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3" s="192" t="str">
        <f ca="1">IF(UT33="","",IF(OR(RumpfkraftResultat[[#This Row],[Resultat]]=Stammdaten!$AX$22,RumpfkraftResultat[[#This Row],[Resultat]]=Stammdaten!$AX$19),Stammdaten!$AX$19,IF(ISNA(INDEX(INDIRECT(UT33),MATCH(RumpfkraftGerundet[[#This Row],[Rundung]],INDIRECT(UT33),UT$18))),IF(UT$18=-1,LARGE(INDIRECT(UT33),1),SMALL(INDIRECT(UT33),1)),INDEX(INDIRECT(UT33),MATCH(RumpfkraftGerundet[[#This Row],[Rundung]],INDIRECT(UT33),UT$18)))))</f>
        <v/>
      </c>
      <c r="UW33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3" s="36" t="str">
        <f ca="1">IF(OR(UT33="",RumpfkraftSkalawert[[#This Row],[Skala-Wert]]=Stammdaten!$AX$19),"",INDEX(INDIRECT(UW33),MATCH(RumpfkraftSkalawert[[#This Row],[Skala-Wert]],INDIRECT(UT33),0)))</f>
        <v/>
      </c>
      <c r="UY33" s="31"/>
      <c r="UZ33" s="190" t="str">
        <f>IF(SechzigmLaufResultat[[#This Row],[Resultat]]=0,"",SechzigmLaufResultat[[#This Row],[Resultat]])</f>
        <v/>
      </c>
      <c r="VA33" s="190"/>
      <c r="VB33" s="45" t="str">
        <f ca="1">SechzigmLaufSkalawert[[#This Row],[Skala-Wert]]</f>
        <v/>
      </c>
      <c r="VD33" s="31" t="str">
        <f ca="1">SechzigmLaufNote[[#This Row],[Note]]</f>
        <v/>
      </c>
      <c r="VE33" s="31"/>
      <c r="VF33" s="190" t="str">
        <f>IF(AchtzigmLaufResultat[[#This Row],[Resultat]]=0,"",AchtzigmLaufResultat[[#This Row],[Resultat]])</f>
        <v/>
      </c>
      <c r="VG33" s="190"/>
      <c r="VH33" s="45" t="str">
        <f ca="1">AchtzigmLaufSkalawert[[#This Row],[Skala-Wert]]</f>
        <v/>
      </c>
      <c r="VJ33" s="31" t="str">
        <f ca="1">AchtzigmLaufNote[[#This Row],[Note]]</f>
        <v/>
      </c>
      <c r="VK33" s="31"/>
      <c r="VL33" s="37"/>
      <c r="VM33" s="190"/>
      <c r="VN33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3" s="191" t="str">
        <f>IF(OR(Geschlecht[[#This Row],[Geschlecht (Skala)]]="",VL$16=""),"",MID(Geschlecht[[#This Row],[Geschlecht (Skala)]],1,1)&amp;MID(VL$16,1,1))</f>
        <v/>
      </c>
      <c r="VP33" s="190" t="str">
        <f>IF(OR(VO33="",KonditionsparcoursResultat[[#This Row],[Resultat]]=""),"",REPLACE(INDEX(StdDisziplinen[TabÜberschriftResultat],VL$3),FIND("X",INDEX(StdDisziplinen[TabÜberschriftResultat],VL$3),1),2,VO33))</f>
        <v/>
      </c>
      <c r="VQ33" s="192" t="str">
        <f ca="1">IF(VP33="","",IF(OR(KonditionsparcoursResultat[[#This Row],[Resultat]]=Stammdaten!$AX$22,KonditionsparcoursResultat[[#This Row],[Resultat]]=Stammdaten!$AX$19),Stammdaten!$AX$19,IF(ISNA(INDEX(INDIRECT(VP33),MATCH(KonditionsparcoursGerundet[[#This Row],[Rundung]],INDIRECT(VP33),VP$18))),IF(VP$18=-1,LARGE(INDIRECT(VP33),1),SMALL(INDIRECT(VP33),1)),INDEX(INDIRECT(VP33),MATCH(KonditionsparcoursGerundet[[#This Row],[Rundung]],INDIRECT(VP33),VP$18)))))</f>
        <v/>
      </c>
      <c r="VS33" s="18" t="str">
        <f ca="1">IF(KonditionsparcoursSkalawert[[#This Row],[Skala-Wert]]="","",REPLACE(INDEX(StdDisziplinen[TabÜberschriftNote],VL$3),FIND("X",INDEX(StdDisziplinen[TabÜberschriftNote],VL$3),1),2,VO33))</f>
        <v/>
      </c>
      <c r="VT33" s="31" t="str">
        <f ca="1">IF(OR(VS33="",KonditionsparcoursSkalawert[[#This Row],[Skala-Wert]]=Stammdaten!$AX$19),"",INDEX(INDIRECT(VS33),MATCH(KonditionsparcoursSkalawert[[#This Row],[Skala-Wert]],INDIRECT(VP33),0)))</f>
        <v/>
      </c>
      <c r="VU33" s="22"/>
    </row>
    <row r="34" spans="1:593" x14ac:dyDescent="0.3">
      <c r="A34" s="30">
        <v>16</v>
      </c>
      <c r="B34" s="589"/>
      <c r="C34" s="589"/>
      <c r="E34" s="591"/>
      <c r="G34" s="37"/>
      <c r="H34" s="190"/>
      <c r="I34" s="154">
        <f>IF(I$16,IF(J$16=0.5,MROUND(SechzigmLaufResultat[[#This Row],[Resultat]],J$16),ROUND(SechzigmLaufResultat[[#This Row],[Resultat]],J$16)),ROUNDDOWN(SechzigmLaufResultat[[#This Row],[Resultat]],J$16))</f>
        <v>0</v>
      </c>
      <c r="J34" s="191" t="str">
        <f>IF(OR(Geschlecht[[#This Row],[Geschlecht (Skala)]]="",G$16=""),"",MID(Geschlecht[[#This Row],[Geschlecht (Skala)]],1,1)&amp;MID(G$16,1,1))</f>
        <v/>
      </c>
      <c r="K34" s="190" t="str">
        <f>IF(OR(J34="",SechzigmLaufResultat[[#This Row],[Resultat]]=""),"",REPLACE(INDEX(StdDisziplinen[TabÜberschriftResultat],G$3),FIND("X",INDEX(StdDisziplinen[TabÜberschriftResultat],G$3),1),2,J34))</f>
        <v/>
      </c>
      <c r="L34" s="45" t="str">
        <f ca="1">IF(K34="","",IF(OR(SechzigmLaufResultat[[#This Row],[Resultat]]=Stammdaten!$AX$22,SechzigmLaufResultat[[#This Row],[Resultat]]=Stammdaten!$AX$19),Stammdaten!$AX$19,IF(ISNA(INDEX(INDIRECT(K34),MATCH(SechzigmLaufGerundet[[#This Row],[Rundung]],INDIRECT(K34),K$18))),IF(K$18=-1,LARGE(INDIRECT(K34),1),SMALL(INDIRECT(K34),1)),INDEX(INDIRECT(K34),MATCH(SechzigmLaufGerundet[[#This Row],[Rundung]],INDIRECT(K34),K$18)))))</f>
        <v/>
      </c>
      <c r="N34" s="18" t="str">
        <f ca="1">IF(SechzigmLaufSkalawert[[#This Row],[Skala-Wert]]="","",REPLACE(INDEX(StdDisziplinen[TabÜberschriftNote],G$3),FIND("X",INDEX(StdDisziplinen[TabÜberschriftNote],G$3),1),2,J34))</f>
        <v/>
      </c>
      <c r="O34" s="31" t="str">
        <f ca="1">IF(OR(N34="",SechzigmLaufSkalawert[[#This Row],[Skala-Wert]]=Stammdaten!$AX$19),"",INDEX(INDIRECT(N34),MATCH(SechzigmLaufSkalawert[[#This Row],[Skala-Wert]],INDIRECT(K34),0)))</f>
        <v/>
      </c>
      <c r="P34" s="31"/>
      <c r="Q34" s="37"/>
      <c r="R34" s="190"/>
      <c r="S34" s="154">
        <f>IF(S$16,IF(T$16=0.5,MROUND(AchtzigmLaufResultat[[#This Row],[Resultat]],T$16),ROUND(AchtzigmLaufResultat[[#This Row],[Resultat]],T$16)),ROUNDDOWN(AchtzigmLaufResultat[[#This Row],[Resultat]],T$16))</f>
        <v>0</v>
      </c>
      <c r="T34" s="191" t="str">
        <f>IF(OR(Geschlecht[[#This Row],[Geschlecht (Skala)]]="",Q$16=""),"",MID(Geschlecht[[#This Row],[Geschlecht (Skala)]],1,1)&amp;MID(Q$16,1,1))</f>
        <v/>
      </c>
      <c r="U34" s="190" t="str">
        <f>IF(OR(T34="",AchtzigmLaufResultat[[#This Row],[Resultat]]=""),"",REPLACE(INDEX(StdDisziplinen[TabÜberschriftResultat],Q$3),FIND("X",INDEX(StdDisziplinen[TabÜberschriftResultat],Q$3),1),2,T34))</f>
        <v/>
      </c>
      <c r="V34" s="45" t="str">
        <f ca="1">IF(U34="","",IF(OR(AchtzigmLaufResultat[[#This Row],[Resultat]]=Stammdaten!$AX$22,AchtzigmLaufResultat[[#This Row],[Resultat]]=Stammdaten!$AX$19),Stammdaten!$AX$19,IF(ISNA(INDEX(INDIRECT(U34),MATCH(AchtzigmLaufGerundet[[#This Row],[Rundung]],INDIRECT(U34),U$18))),IF(U$18=-1,LARGE(INDIRECT(U34),1),SMALL(INDIRECT(U34),1)),INDEX(INDIRECT(U34),MATCH(AchtzigmLaufGerundet[[#This Row],[Rundung]],INDIRECT(U34),U$18)))))</f>
        <v/>
      </c>
      <c r="X34" s="18" t="str">
        <f ca="1">IF(AchtzigmLaufSkalawert[[#This Row],[Skala-Wert]]="","",REPLACE(INDEX(StdDisziplinen[TabÜberschriftNote],Q$3),FIND("X",INDEX(StdDisziplinen[TabÜberschriftNote],Q$3),1),2,T34))</f>
        <v/>
      </c>
      <c r="Y34" s="31" t="str">
        <f ca="1">IF(OR(X34="",AchtzigmLaufSkalawert[[#This Row],[Skala-Wert]]=Stammdaten!$AX$19),"",INDEX(INDIRECT(X34),MATCH(AchtzigmLaufSkalawert[[#This Row],[Skala-Wert]],INDIRECT(U34),0)))</f>
        <v/>
      </c>
      <c r="Z34" s="31"/>
      <c r="AA34" s="37"/>
      <c r="AB34" s="190"/>
      <c r="AC34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4" s="191" t="str">
        <f>IF(OR(Geschlecht[[#This Row],[Geschlecht (Skala)]]="",AA$16=""),"",MID(Geschlecht[[#This Row],[Geschlecht (Skala)]],1,1)&amp;MID(AA$16,1,1))</f>
        <v/>
      </c>
      <c r="AE34" s="190" t="str">
        <f>IF(OR(AD34="",ZwölfMinLaufHalleResultat[[#This Row],[Resultat]]=""),"",REPLACE(INDEX(StdDisziplinen[TabÜberschriftResultat],AA$3),FIND("X",INDEX(StdDisziplinen[TabÜberschriftResultat],AA$3),1),2,AD34))</f>
        <v/>
      </c>
      <c r="AF34" s="31" t="str">
        <f ca="1">IF(AE34="","",IF(OR(ZwölfMinLaufHalleResultat[[#This Row],[Resultat]]=Stammdaten!$AX$22,ZwölfMinLaufHalleResultat[[#This Row],[Resultat]]=Stammdaten!$AX$19),Stammdaten!$AX$19,IF(ISNA(INDEX(INDIRECT(AE34),MATCH(ZwölfMinLaufHalleGerundet[[#This Row],[Rundung]],INDIRECT(AE34),AE$18))),IF(AE$18=-1,LARGE(INDIRECT(AE34),1),SMALL(INDIRECT(AE34),1)),INDEX(INDIRECT(AE34),MATCH(ZwölfMinLaufHalleGerundet[[#This Row],[Rundung]],INDIRECT(AE34),AE$18)))))</f>
        <v/>
      </c>
      <c r="AH34" s="18" t="str">
        <f ca="1">IF(ZwölfMinLaufHalleSkalawert[[#This Row],[Skala-Wert]]="","",REPLACE(INDEX(StdDisziplinen[TabÜberschriftNote],AA$3),FIND("X",INDEX(StdDisziplinen[TabÜberschriftNote],AA$3),1),2,AD34))</f>
        <v/>
      </c>
      <c r="AI34" s="31" t="str">
        <f ca="1">IF(OR(AH34="",ZwölfMinLaufHalleSkalawert[[#This Row],[Skala-Wert]]=Stammdaten!$AX$19),"",INDEX(INDIRECT(AH34),MATCH(ZwölfMinLaufHalleSkalawert[[#This Row],[Skala-Wert]],INDIRECT(AE34),0)))</f>
        <v/>
      </c>
      <c r="AJ34" s="31"/>
      <c r="AK34" s="597"/>
      <c r="AL34" s="190"/>
      <c r="AM34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4" s="191" t="str">
        <f>IF(OR(Geschlecht[[#This Row],[Geschlecht (Skala)]]="",AK$16=""),"",MID(Geschlecht[[#This Row],[Geschlecht (Skala)]],1,1)&amp;MID(AK$16,1,1))</f>
        <v/>
      </c>
      <c r="AO34" s="190" t="str">
        <f>IF(OR(AN34="",ZwölfMinLaufimFreienResultat[[#This Row],[Resultat]]=""),"",REPLACE(INDEX(StdDisziplinen[TabÜberschriftResultat],AK$3),FIND("X",INDEX(StdDisziplinen[TabÜberschriftResultat],AK$3),1),2,AN34))</f>
        <v/>
      </c>
      <c r="AP34" s="192" t="str">
        <f ca="1">IF(AO34="","",IF(OR(ZwölfMinLaufimFreienResultat[[#This Row],[Resultat]]=Stammdaten!$AX$22,ZwölfMinLaufimFreienResultat[[#This Row],[Resultat]]=Stammdaten!$AX$19),Stammdaten!$AX$19,IF(ISNA(INDEX(INDIRECT(AO34),MATCH(ZwölfMinLaufimFreienGerundet[[#This Row],[Rundung]],INDIRECT(AO34),AO$18))),IF(AO$18=-1,LARGE(INDIRECT(AO34),1),SMALL(INDIRECT(AO34),1)),INDEX(INDIRECT(AO34),MATCH(ZwölfMinLaufimFreienGerundet[[#This Row],[Rundung]],INDIRECT(AO34),AO$18)))))</f>
        <v/>
      </c>
      <c r="AR34" s="18" t="str">
        <f ca="1">IF(ZwölfMinLaufimFreienSkalawert[[#This Row],[Skala-Wert]]="","",REPLACE(INDEX(StdDisziplinen[TabÜberschriftNote],AK$3),FIND("X",INDEX(StdDisziplinen[TabÜberschriftNote],AK$3),1),2,AN34))</f>
        <v/>
      </c>
      <c r="AS34" s="31" t="str">
        <f ca="1">IF(OR(AR34="",ZwölfMinLaufimFreienSkalawert[[#This Row],[Skala-Wert]]=Stammdaten!$AX$19),"",INDEX(INDIRECT(AR34),MATCH(ZwölfMinLaufimFreienSkalawert[[#This Row],[Skala-Wert]],INDIRECT(AO34),0)))</f>
        <v/>
      </c>
      <c r="AT34" s="31"/>
      <c r="AU34" s="597"/>
      <c r="AV34" s="190"/>
      <c r="AW34" s="587">
        <f>IF(AW$16,IF(AX$16=0.5,MROUND(HochsprungResultat[[#This Row],[Resultat]],AX$16),ROUND(HochsprungResultat[[#This Row],[Resultat]],AX$16)),ROUNDDOWN(HochsprungResultat[[#This Row],[Resultat]],AX$16))</f>
        <v>0</v>
      </c>
      <c r="AX34" s="191" t="str">
        <f>IF(OR(Geschlecht[[#This Row],[Geschlecht (Skala)]]="",AU$16=""),"",MID(Geschlecht[[#This Row],[Geschlecht (Skala)]],1,1)&amp;MID(AU$16,1,1))</f>
        <v/>
      </c>
      <c r="AY34" s="190" t="str">
        <f>IF(OR(AX34="",HochsprungResultat[[#This Row],[Resultat]]=""),"",REPLACE(INDEX(StdDisziplinen[TabÜberschriftResultat],AU$3),FIND("X",INDEX(StdDisziplinen[TabÜberschriftResultat],AU$3),1),2,AX34))</f>
        <v/>
      </c>
      <c r="AZ34" s="192" t="str">
        <f ca="1">IF(AY34="","",IF(OR(HochsprungResultat[[#This Row],[Resultat]]=Stammdaten!$AX$22,HochsprungResultat[[#This Row],[Resultat]]=Stammdaten!$AX$19),Stammdaten!$AX$19,IF(ISNA(INDEX(INDIRECT(AY34),MATCH(HochsprungGerundet[[#This Row],[Rundung]],INDIRECT(AY34),AY$18))),IF(AY$18=-1,LARGE(INDIRECT(AY34),1),SMALL(INDIRECT(AY34),1)),INDEX(INDIRECT(AY34),MATCH(HochsprungGerundet[[#This Row],[Rundung]],INDIRECT(AY34),AY$18)))))</f>
        <v/>
      </c>
      <c r="BB34" s="18" t="str">
        <f ca="1">IF(HochsprungSkalawert[[#This Row],[Skala-Wert]]="","",REPLACE(INDEX(StdDisziplinen[TabÜberschriftNote],AU$3),FIND("X",INDEX(StdDisziplinen[TabÜberschriftNote],AU$3),1),2,AX34))</f>
        <v/>
      </c>
      <c r="BC34" s="31" t="str">
        <f ca="1">IF(OR(BB34="",HochsprungSkalawert[[#This Row],[Skala-Wert]]=Stammdaten!$AX$19),"",INDEX(INDIRECT(BB34),MATCH(HochsprungSkalawert[[#This Row],[Skala-Wert]],INDIRECT(AY34),0)))</f>
        <v/>
      </c>
      <c r="BD34" s="31"/>
      <c r="BE34" s="597"/>
      <c r="BF34" s="190"/>
      <c r="BG34" s="587">
        <f>IF(BG$16,IF(BH$16=0.5,MROUND(WeitsprungResultat[[#This Row],[Resultat]],BH$16),ROUND(WeitsprungResultat[[#This Row],[Resultat]],BH$16)),ROUNDDOWN(WeitsprungResultat[[#This Row],[Resultat]],BH$16))</f>
        <v>0</v>
      </c>
      <c r="BH34" s="191" t="str">
        <f>IF(OR(Geschlecht[[#This Row],[Geschlecht (Skala)]]="",BE$16=""),"",MID(Geschlecht[[#This Row],[Geschlecht (Skala)]],1,1)&amp;MID(BE$16,1,1))</f>
        <v/>
      </c>
      <c r="BI34" s="190" t="str">
        <f>IF(OR(BH34="",WeitsprungResultat[[#This Row],[Resultat]]=""),"",REPLACE(INDEX(StdDisziplinen[TabÜberschriftResultat],BE$3),FIND("X",INDEX(StdDisziplinen[TabÜberschriftResultat],BE$3),1),2,BH34))</f>
        <v/>
      </c>
      <c r="BJ34" s="192" t="str">
        <f ca="1">IF(BI34="","",IF(OR(WeitsprungResultat[[#This Row],[Resultat]]=Stammdaten!$AX$22,WeitsprungResultat[[#This Row],[Resultat]]=Stammdaten!$AX$19),Stammdaten!$AX$19,IF(ISNA(INDEX(INDIRECT(BI34),MATCH(WeitsprungGerundet[[#This Row],[Rundung]],INDIRECT(BI34),BI$18))),IF(BI$18=-1,LARGE(INDIRECT(BI34),1),SMALL(INDIRECT(BI34),1)),INDEX(INDIRECT(BI34),MATCH(WeitsprungGerundet[[#This Row],[Rundung]],INDIRECT(BI34),BI$18)))))</f>
        <v/>
      </c>
      <c r="BL34" s="18" t="str">
        <f ca="1">IF(WeitsprungSkalawert[[#This Row],[Skala-Wert]]="","",REPLACE(INDEX(StdDisziplinen[TabÜberschriftNote],BE$3),FIND("X",INDEX(StdDisziplinen[TabÜberschriftNote],BE$3),1),2,BH34))</f>
        <v/>
      </c>
      <c r="BM34" s="31" t="str">
        <f ca="1">IF(OR(BL34="",WeitsprungSkalawert[[#This Row],[Skala-Wert]]=Stammdaten!$AX$19),"",INDEX(INDIRECT(BL34),MATCH(WeitsprungSkalawert[[#This Row],[Skala-Wert]],INDIRECT(BI34),0)))</f>
        <v/>
      </c>
      <c r="BN34" s="31"/>
      <c r="BO34" s="37"/>
      <c r="BP34" s="190"/>
      <c r="BQ34" s="154">
        <f>IF(BQ$16,IF(BR$16=0.5,MROUND(BallwurfResultat[[#This Row],[Resultat]],BR$16),ROUND(BallwurfResultat[[#This Row],[Resultat]],BR$16)),ROUNDDOWN(BallwurfResultat[[#This Row],[Resultat]],BR$16))</f>
        <v>0</v>
      </c>
      <c r="BR34" s="191" t="str">
        <f>IF(OR(Geschlecht[[#This Row],[Geschlecht (Skala)]]="",BO$16=""),"",MID(Geschlecht[[#This Row],[Geschlecht (Skala)]],1,1)&amp;MID(BO$16,1,1))</f>
        <v/>
      </c>
      <c r="BS34" s="190" t="str">
        <f>IF(OR(BR34="",BallwurfResultat[[#This Row],[Resultat]]=""),"",REPLACE(INDEX(StdDisziplinen[TabÜberschriftResultat],BO$3),FIND("X",INDEX(StdDisziplinen[TabÜberschriftResultat],BO$3),1),2,BR34))</f>
        <v/>
      </c>
      <c r="BT34" s="45" t="str">
        <f ca="1">IF(BS34="","",IF(OR(BallwurfResultat[[#This Row],[Resultat]]=Stammdaten!$AX$22,BallwurfResultat[[#This Row],[Resultat]]=Stammdaten!$AX$19),Stammdaten!$AX$19,IF(ISNA(INDEX(INDIRECT(BS34),MATCH(BallwurfGerundet[[#This Row],[Rundung]],INDIRECT(BS34),BS$18))),IF(BS$18=-1,LARGE(INDIRECT(BS34),1),SMALL(INDIRECT(BS34),1)),INDEX(INDIRECT(BS34),MATCH(BallwurfGerundet[[#This Row],[Rundung]],INDIRECT(BS34),BS$18)))))</f>
        <v/>
      </c>
      <c r="BV34" s="18" t="str">
        <f ca="1">IF(BallwurfSkalawert[[#This Row],[Skala-Wert]]="","",REPLACE(INDEX(StdDisziplinen[TabÜberschriftNote],BO$3),FIND("X",INDEX(StdDisziplinen[TabÜberschriftNote],BO$3),1),2,BR34))</f>
        <v/>
      </c>
      <c r="BW34" s="31" t="str">
        <f ca="1">IF(OR(BV34="",BallwurfSkalawert[[#This Row],[Skala-Wert]]=Stammdaten!$AX$19),"",INDEX(INDIRECT(BV34),MATCH(BallwurfSkalawert[[#This Row],[Skala-Wert]],INDIRECT(BS34),0)))</f>
        <v/>
      </c>
      <c r="BX34" s="31"/>
      <c r="BY34" s="598"/>
      <c r="BZ34" s="190"/>
      <c r="CA34" s="154">
        <f>IF(CA$16,IF(CB$16=0.5,MROUND(KugelstossenResultat[[#This Row],[Resultat]],CB$16),ROUND(KugelstossenResultat[[#This Row],[Resultat]],CB$16)),ROUNDDOWN(KugelstossenResultat[[#This Row],[Resultat]],CB$16))</f>
        <v>0</v>
      </c>
      <c r="CB34" s="191" t="str">
        <f>IF(OR(Geschlecht[[#This Row],[Geschlecht (Skala)]]="",BY$16=""),"",MID(Geschlecht[[#This Row],[Geschlecht (Skala)]],1,1)&amp;MID(BY$16,1,1))</f>
        <v/>
      </c>
      <c r="CC34" s="190" t="str">
        <f>IF(OR(CB34="",KugelstossenResultat[[#This Row],[Resultat]]=""),"",REPLACE(INDEX(StdDisziplinen[TabÜberschriftResultat],BY$3),FIND("X",INDEX(StdDisziplinen[TabÜberschriftResultat],BY$3),1),2,CB34))</f>
        <v/>
      </c>
      <c r="CD34" s="45" t="str">
        <f ca="1">IF(CC34="","",IF(OR(KugelstossenResultat[[#This Row],[Resultat]]=Stammdaten!$AX$22,KugelstossenResultat[[#This Row],[Resultat]]=Stammdaten!$AX$19),Stammdaten!$AX$19,IF(ISNA(INDEX(INDIRECT(CC34),MATCH(KugelstossenGerundet[[#This Row],[Rundung]],INDIRECT(CC34),CC$18))),IF(CC$18=-1,LARGE(INDIRECT(CC34),1),SMALL(INDIRECT(CC34),1)),INDEX(INDIRECT(CC34),MATCH(KugelstossenGerundet[[#This Row],[Rundung]],INDIRECT(CC34),CC$18)))))</f>
        <v/>
      </c>
      <c r="CF34" s="18" t="str">
        <f ca="1">IF(KugelstossenSkalawert[[#This Row],[Skala-Wert]]="","",REPLACE(INDEX(StdDisziplinen[TabÜberschriftNote],BY$3),FIND("X",INDEX(StdDisziplinen[TabÜberschriftNote],BY$3),1),2,CB34))</f>
        <v/>
      </c>
      <c r="CG34" s="31" t="str">
        <f ca="1">IF(OR(CF34="",KugelstossenSkalawert[[#This Row],[Skala-Wert]]=Stammdaten!$AX$19),"",INDEX(INDIRECT(CF34),MATCH(KugelstossenSkalawert[[#This Row],[Skala-Wert]],INDIRECT(CC34),0)))</f>
        <v/>
      </c>
      <c r="CH34" s="31"/>
      <c r="CI34" s="37"/>
      <c r="CJ34" s="190"/>
      <c r="CK34" s="154">
        <f>IF(CK$16,IF(CL$16=0.5,MROUND(SpeerwurfResultat[[#This Row],[Resultat]],CL$16),ROUND(SpeerwurfResultat[[#This Row],[Resultat]],CL$16)),ROUNDDOWN(SpeerwurfResultat[[#This Row],[Resultat]],CL$16))</f>
        <v>0</v>
      </c>
      <c r="CL34" s="191" t="str">
        <f>IF(OR(Geschlecht[[#This Row],[Geschlecht (Skala)]]="",CI$16=""),"",MID(Geschlecht[[#This Row],[Geschlecht (Skala)]],1,1)&amp;MID(CI$16,1,1))</f>
        <v/>
      </c>
      <c r="CM34" s="190" t="str">
        <f>IF(OR(CL34="",SpeerwurfResultat[[#This Row],[Resultat]]=""),"",REPLACE(INDEX(StdDisziplinen[TabÜberschriftResultat],CI$3),FIND("X",INDEX(StdDisziplinen[TabÜberschriftResultat],CI$3),1),2,CL34))</f>
        <v/>
      </c>
      <c r="CN34" s="45" t="str">
        <f ca="1">IF(CM34="","",IF(OR(SpeerwurfResultat[[#This Row],[Resultat]]=Stammdaten!$AX$22,SpeerwurfResultat[[#This Row],[Resultat]]=Stammdaten!$AX$19),Stammdaten!$AX$19,IF(ISNA(INDEX(INDIRECT(CM34),MATCH(SpeerwurfGerundet[[#This Row],[Rundung]],INDIRECT(CM34),CM$18))),IF(CM$18=-1,LARGE(INDIRECT(CM34),1),SMALL(INDIRECT(CM34),1)),INDEX(INDIRECT(CM34),MATCH(SpeerwurfGerundet[[#This Row],[Rundung]],INDIRECT(CM34),CM$18)))))</f>
        <v/>
      </c>
      <c r="CP34" s="18" t="str">
        <f ca="1">IF(SpeerwurfSkalawert[[#This Row],[Skala-Wert]]="","",REPLACE(INDEX(StdDisziplinen[TabÜberschriftNote],CI$3),FIND("X",INDEX(StdDisziplinen[TabÜberschriftNote],CI$3),1),2,CL34))</f>
        <v/>
      </c>
      <c r="CQ34" s="31" t="str">
        <f ca="1">IF(OR(CP34="",SpeerwurfSkalawert[[#This Row],[Skala-Wert]]=Stammdaten!$AX$19),"",INDEX(INDIRECT(CP34),MATCH(SpeerwurfSkalawert[[#This Row],[Skala-Wert]],INDIRECT(CM34),0)))</f>
        <v/>
      </c>
      <c r="CR34" s="31"/>
      <c r="CS34" s="31" t="str">
        <f t="shared" ca="1" si="50"/>
        <v/>
      </c>
      <c r="CT34" s="31" t="str">
        <f t="shared" ca="1" si="50"/>
        <v/>
      </c>
      <c r="CU34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Row],[Skala-Wert]])&gt;0,MAX(CS34:CT34),99))</f>
        <v>Keine Note</v>
      </c>
      <c r="CV34" s="202" t="str">
        <f t="shared" ca="1" si="51"/>
        <v/>
      </c>
      <c r="CW34" s="202" t="str">
        <f ca="1">IF(CV34=$A$2,CS$10&amp;Stammdaten!$AX$25,IF(CU34=INDEX(StdFehler[],3),CS$10&amp;Stammdaten!$AX$27,INDEX(INDIRECT($B$4),MATCH(CV34,INDIRECT($B$5),0))))</f>
        <v>Sprintdisziplinen nicht durchgeführt</v>
      </c>
      <c r="CX34" s="202" t="str">
        <f ca="1">IFERROR(INDEX(INDIRECT(CX$12),MATCH(CV34,StdDisziplinen[ID],0)),"")</f>
        <v/>
      </c>
      <c r="CY34" s="202" t="e">
        <f t="shared" ca="1" si="52"/>
        <v>#N/A</v>
      </c>
      <c r="CZ34" s="202" t="e">
        <f t="shared" ca="1" si="53"/>
        <v>#N/A</v>
      </c>
      <c r="DA34" s="98" t="str">
        <f t="shared" ca="1" si="223"/>
        <v/>
      </c>
      <c r="DB34" s="202" t="e">
        <f t="shared" ca="1" si="54"/>
        <v>#N/A</v>
      </c>
      <c r="DC34" s="202" t="str">
        <f t="shared" ca="1" si="55"/>
        <v/>
      </c>
      <c r="DD34" s="31" t="str">
        <f t="shared" ca="1" si="56"/>
        <v/>
      </c>
      <c r="DE34" s="31" t="str">
        <f t="shared" ca="1" si="56"/>
        <v/>
      </c>
      <c r="DF34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Row],[Skala-Wert]])&gt;0,MAX(DD34:DE34),99))</f>
        <v>Keine Note</v>
      </c>
      <c r="DG34" s="202" t="str">
        <f t="shared" ca="1" si="57"/>
        <v/>
      </c>
      <c r="DH34" s="202" t="str">
        <f ca="1">IF(DG34=$A$2,DD$10&amp;Stammdaten!$AX$25,IF(DF34=INDEX(StdFehler[],3),DD$10&amp;Stammdaten!$AX$27,INDEX(INDIRECT($B$4),MATCH(DG34,INDIRECT($B$5),0))))</f>
        <v>Ausdauerdisziplinen nicht durchgeführt</v>
      </c>
      <c r="DI34" s="202" t="str">
        <f ca="1">IFERROR(INDEX(INDIRECT(DI$12),MATCH(DG34,StdDisziplinen[ID],0)),"")</f>
        <v/>
      </c>
      <c r="DJ34" s="202" t="e">
        <f t="shared" ca="1" si="58"/>
        <v>#N/A</v>
      </c>
      <c r="DK34" s="202" t="e">
        <f t="shared" ca="1" si="59"/>
        <v>#N/A</v>
      </c>
      <c r="DL34" s="96" t="str">
        <f t="shared" ca="1" si="60"/>
        <v/>
      </c>
      <c r="DM34" s="202" t="e">
        <f t="shared" ca="1" si="61"/>
        <v>#N/A</v>
      </c>
      <c r="DN34" s="202" t="str">
        <f t="shared" ca="1" si="62"/>
        <v/>
      </c>
      <c r="DO34" s="31" t="str">
        <f t="shared" ca="1" si="63"/>
        <v/>
      </c>
      <c r="DP34" s="31" t="str">
        <f t="shared" ca="1" si="63"/>
        <v/>
      </c>
      <c r="DQ34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Row],[Skala-Wert]])&gt;0,MAX(DO34:DP34),99))</f>
        <v>Keine Note</v>
      </c>
      <c r="DR34" s="202" t="str">
        <f t="shared" ca="1" si="64"/>
        <v/>
      </c>
      <c r="DS34" s="202" t="str">
        <f ca="1">IF(DR34=$A$2,DO$10&amp;Stammdaten!$AX$25,IF(DQ34=INDEX(StdFehler[],3),DO$10&amp;Stammdaten!$AX$27,INDEX(INDIRECT($B$4),MATCH(DR34,INDIRECT($B$5),0))))</f>
        <v>Sprungdisziplinen nicht durchgeführt</v>
      </c>
      <c r="DT34" s="202" t="str">
        <f ca="1">IFERROR(INDEX(INDIRECT(DT$12),MATCH(DR34,StdDisziplinen[ID],0)),"")</f>
        <v/>
      </c>
      <c r="DU34" s="202" t="e">
        <f t="shared" ca="1" si="65"/>
        <v>#N/A</v>
      </c>
      <c r="DV34" s="202" t="e">
        <f t="shared" ca="1" si="66"/>
        <v>#N/A</v>
      </c>
      <c r="DW34" s="202" t="str">
        <f t="shared" ca="1" si="67"/>
        <v/>
      </c>
      <c r="DX34" s="202" t="e">
        <f t="shared" ca="1" si="68"/>
        <v>#N/A</v>
      </c>
      <c r="DY34" s="202" t="str">
        <f t="shared" ca="1" si="69"/>
        <v/>
      </c>
      <c r="DZ34" s="31" t="str">
        <f ca="1">IF(BallwurfSkalawert[[#This Row],[Skala-Wert]]=$A$3,$A$2,IF(ISNUMBER(BallwurfSkalawert[[#This Row],[Skala-Wert]]),BallwurfNote[[#This Row],[Note]],"!"))</f>
        <v>!</v>
      </c>
      <c r="EA34" s="31" t="str">
        <f ca="1">IF(KugelstossenSkalawert[[#This Row],[Skala-Wert]]=$A$3,$A$2,IF(ISNUMBER(KugelstossenSkalawert[[#This Row],[Skala-Wert]]),KugelstossenNote[[#This Row],[Note]],"!"))</f>
        <v>!</v>
      </c>
      <c r="EB34" s="31" t="str">
        <f ca="1">IF(SpeerwurfSkalawert[[#This Row],[Skala-Wert]]=$A$3,$A$2,IF(ISNUMBER(SpeerwurfSkalawert[[#This Row],[Skala-Wert]]),SpeerwurfNote[[#This Row],[Note]],"!"))</f>
        <v>!</v>
      </c>
      <c r="EC34" s="95" t="str">
        <f ca="1">IF(ED34&gt;0,MAX(DZ34:EB34),IF(EE34&gt;0,99,INDEX(StdFehler[StdFehler],3)))</f>
        <v>Keine Note</v>
      </c>
      <c r="ED34" s="202">
        <f t="shared" ca="1" si="70"/>
        <v>0</v>
      </c>
      <c r="EE34" s="202">
        <f t="shared" ca="1" si="71"/>
        <v>0</v>
      </c>
      <c r="EF34" s="202" t="str">
        <f t="shared" ca="1" si="72"/>
        <v/>
      </c>
      <c r="EG34" s="202" t="str">
        <f ca="1">IF(EF34=$A$2,DZ$10&amp;Stammdaten!$AX$25,IF(EC34=INDEX(StdFehler[],3),DZ$10&amp;Stammdaten!$AX$27,INDEX(INDIRECT($B$4),MATCH(EF34,INDIRECT($B$5),0))))</f>
        <v>Wurfdisziplinen nicht durchgeführt</v>
      </c>
      <c r="EH34" s="202" t="str">
        <f ca="1">IFERROR(INDEX(INDIRECT(EH$12),MATCH(EF34,StdDisziplinen[ID],0)),"")</f>
        <v/>
      </c>
      <c r="EI34" s="202" t="e">
        <f t="shared" ca="1" si="73"/>
        <v>#N/A</v>
      </c>
      <c r="EJ34" s="202" t="e">
        <f t="shared" ca="1" si="74"/>
        <v>#N/A</v>
      </c>
      <c r="EK34" s="98" t="str">
        <f t="shared" ca="1" si="75"/>
        <v/>
      </c>
      <c r="EL34" s="202" t="e">
        <f t="shared" ca="1" si="76"/>
        <v>#N/A</v>
      </c>
      <c r="EM34" s="202" t="str">
        <f t="shared" ca="1" si="77"/>
        <v/>
      </c>
      <c r="EN34" s="200">
        <f t="shared" ca="1" si="1"/>
        <v>0</v>
      </c>
      <c r="EO34" s="202">
        <f t="shared" ca="1" si="78"/>
        <v>0</v>
      </c>
      <c r="EP34" s="96">
        <f t="shared" ca="1" si="2"/>
        <v>0</v>
      </c>
      <c r="EQ34" s="96">
        <f t="shared" ca="1" si="3"/>
        <v>0</v>
      </c>
      <c r="ER34" s="96">
        <f t="shared" ca="1" si="4"/>
        <v>0</v>
      </c>
      <c r="ES34" s="96">
        <f t="shared" ca="1" si="5"/>
        <v>0</v>
      </c>
      <c r="ET34" s="202">
        <f t="shared" ca="1" si="79"/>
        <v>0</v>
      </c>
      <c r="EU34" s="202" t="str">
        <f ca="1">IF($EO34=$FA$4,Stammdaten!$AX$19,IF(COUNTIF($EP34:$ES34,0)&lt;&gt;0,INDEX(StdFehler[StdFehler],4),ROUND(SUM($ET34/$EN34)/$FC$4,0)*$FC$4))</f>
        <v>Zu wenige Noten</v>
      </c>
      <c r="EV34" s="202" t="str">
        <f t="shared" ca="1" si="6"/>
        <v>Zu wenige Noten</v>
      </c>
      <c r="EW34" s="202" t="str">
        <f t="shared" ca="1" si="80"/>
        <v>Zu wenige Noten</v>
      </c>
      <c r="EX34" s="202" t="str">
        <f t="shared" ca="1" si="80"/>
        <v>Zu wenige Noten</v>
      </c>
      <c r="EY34" s="202" t="str">
        <f t="shared" ca="1" si="80"/>
        <v>Zu wenige Noten</v>
      </c>
      <c r="EZ34" s="202" t="str">
        <f t="shared" ca="1" si="81"/>
        <v>Zu wenige Noten</v>
      </c>
      <c r="FA34" s="202" t="str">
        <f t="shared" ca="1" si="82"/>
        <v>Zu wenige Noten</v>
      </c>
      <c r="FB34" s="31"/>
      <c r="FC34" s="56" t="str">
        <f t="shared" ca="1" si="83"/>
        <v>Zu wenige Noten</v>
      </c>
      <c r="FD34" s="31"/>
      <c r="FE34" s="597"/>
      <c r="FF34" s="190"/>
      <c r="FJ34" s="31"/>
      <c r="FK34" s="597"/>
      <c r="FL34" s="190"/>
      <c r="FP34" s="31"/>
      <c r="FQ34" s="597"/>
      <c r="FR34" s="190"/>
      <c r="FV34" s="31"/>
      <c r="FW34" s="597"/>
      <c r="FX34" s="190"/>
      <c r="GB34" s="31"/>
      <c r="GC34" s="597"/>
      <c r="GD34" s="190"/>
      <c r="GF34" s="154"/>
      <c r="GH34" s="31"/>
      <c r="GI34" s="597"/>
      <c r="GJ34" s="190"/>
      <c r="GN34" s="45"/>
      <c r="GO34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4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4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4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4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4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4" s="202">
        <f t="shared" si="7"/>
        <v>0</v>
      </c>
      <c r="GV34" s="202">
        <f t="shared" si="8"/>
        <v>0</v>
      </c>
      <c r="GW34" s="202">
        <f t="shared" si="84"/>
        <v>0</v>
      </c>
      <c r="GX34" s="200" t="str">
        <f t="shared" si="85"/>
        <v>!</v>
      </c>
      <c r="GY34" s="200" t="str">
        <f t="shared" si="9"/>
        <v>!</v>
      </c>
      <c r="GZ34" s="200" t="str">
        <f t="shared" si="10"/>
        <v>!</v>
      </c>
      <c r="HA34" s="244" t="str">
        <f t="shared" si="86"/>
        <v>nd</v>
      </c>
      <c r="HB34" s="244" t="str">
        <f t="shared" si="87"/>
        <v>nd</v>
      </c>
      <c r="HC34" s="244" t="str">
        <f t="shared" si="88"/>
        <v>nd</v>
      </c>
      <c r="HD34" s="244" t="str">
        <f t="shared" si="89"/>
        <v>nd</v>
      </c>
      <c r="HE34" s="244" t="str">
        <f t="shared" si="90"/>
        <v>nd</v>
      </c>
      <c r="HF34" s="244" t="str">
        <f t="shared" si="91"/>
        <v>nd</v>
      </c>
      <c r="HG34" s="202" t="b">
        <f t="shared" si="92"/>
        <v>0</v>
      </c>
      <c r="HH34" s="202">
        <f t="shared" si="93"/>
        <v>1</v>
      </c>
      <c r="HI34" s="202">
        <f t="shared" si="94"/>
        <v>0</v>
      </c>
      <c r="HJ34" s="200" t="str">
        <f t="shared" si="95"/>
        <v/>
      </c>
      <c r="HK34" s="200" t="str">
        <f t="shared" si="96"/>
        <v/>
      </c>
      <c r="HL34" s="200">
        <f t="shared" si="97"/>
        <v>0</v>
      </c>
      <c r="HM34" s="202" t="str">
        <f t="shared" si="98"/>
        <v/>
      </c>
      <c r="HN34" s="200" t="str">
        <f t="shared" si="99"/>
        <v/>
      </c>
      <c r="HO34" s="200" t="str">
        <f t="shared" si="100"/>
        <v/>
      </c>
      <c r="HP34" s="200" t="str">
        <f t="shared" si="101"/>
        <v/>
      </c>
      <c r="HQ34" s="242" t="str">
        <f t="shared" si="102"/>
        <v/>
      </c>
      <c r="HR34" s="242" t="str">
        <f t="shared" si="103"/>
        <v/>
      </c>
      <c r="HS34" s="242" t="str">
        <f t="shared" si="104"/>
        <v/>
      </c>
      <c r="HT34" s="242" t="str">
        <f t="shared" ca="1" si="105"/>
        <v>Erstes Gerät</v>
      </c>
      <c r="HU34" s="242" t="str">
        <f ca="1">IF(HT34=$HS$12,Stammdaten!$AY$27,IF(HW34=$A$2,TRIM(Stammdaten!$AX$25),""))</f>
        <v>nicht durchgeführt</v>
      </c>
      <c r="HV34" s="242" t="str">
        <f t="shared" ca="1" si="106"/>
        <v/>
      </c>
      <c r="HW34" s="277" t="str">
        <f t="shared" si="11"/>
        <v/>
      </c>
      <c r="HX34" s="202" t="str">
        <f t="shared" si="107"/>
        <v/>
      </c>
      <c r="HY34" s="202" t="str">
        <f t="shared" ca="1" si="108"/>
        <v/>
      </c>
      <c r="HZ34" s="202" t="str">
        <f t="shared" ca="1" si="109"/>
        <v>StdDisziplinen[MaxTextSt]</v>
      </c>
      <c r="IA34" s="202" t="str">
        <f t="shared" ca="1" si="12"/>
        <v/>
      </c>
      <c r="IB34" s="202" t="b">
        <f t="shared" si="110"/>
        <v>0</v>
      </c>
      <c r="IC34" s="202" t="str">
        <f t="shared" si="111"/>
        <v/>
      </c>
      <c r="ID34" s="202" t="str">
        <f t="shared" si="112"/>
        <v/>
      </c>
      <c r="IE34" s="202" t="str">
        <f t="shared" si="113"/>
        <v/>
      </c>
      <c r="IF34" s="202" t="str">
        <f t="shared" si="114"/>
        <v/>
      </c>
      <c r="IG34" s="242" t="str">
        <f t="shared" si="115"/>
        <v/>
      </c>
      <c r="IH34" s="242" t="str">
        <f t="shared" si="116"/>
        <v/>
      </c>
      <c r="II34" s="242" t="str">
        <f t="shared" ca="1" si="13"/>
        <v>Zweites Gerät</v>
      </c>
      <c r="IJ34" s="242" t="str">
        <f ca="1">IF(II34=$IH$12,Stammdaten!$AY$27,IF(IL34=$A$2,TRIM(Stammdaten!$AX$25),""))</f>
        <v>nicht durchgeführt</v>
      </c>
      <c r="IK34" s="242" t="str">
        <f t="shared" ca="1" si="117"/>
        <v/>
      </c>
      <c r="IL34" s="200" t="str">
        <f t="shared" si="14"/>
        <v/>
      </c>
      <c r="IM34" s="202" t="str">
        <f t="shared" si="118"/>
        <v/>
      </c>
      <c r="IN34" s="202" t="str">
        <f t="shared" ca="1" si="119"/>
        <v/>
      </c>
      <c r="IO34" s="202" t="str">
        <f t="shared" ca="1" si="120"/>
        <v>StdDisziplinen[MaxTextSt]</v>
      </c>
      <c r="IP34" s="202" t="str">
        <f t="shared" ca="1" si="121"/>
        <v/>
      </c>
      <c r="IQ34" s="202" t="b">
        <f t="shared" si="122"/>
        <v>0</v>
      </c>
      <c r="IR34" s="242" t="str">
        <f t="shared" ca="1" si="15"/>
        <v>Drittes Gerät</v>
      </c>
      <c r="IS34" s="242" t="str">
        <f ca="1">IF(IR34=$IR$12,MID(Stammdaten!$AX$27,2,LEN(Stammdaten!$AX$27)),IF(IU34=$A$2,TRIM(Stammdaten!$AX$25),""))</f>
        <v>nicht durchgeführt</v>
      </c>
      <c r="IT34" s="242" t="str">
        <f t="shared" ca="1" si="16"/>
        <v/>
      </c>
      <c r="IU34" s="200" t="str">
        <f t="shared" si="17"/>
        <v/>
      </c>
      <c r="IV34" s="202" t="str">
        <f t="shared" si="123"/>
        <v/>
      </c>
      <c r="IW34" s="202" t="str">
        <f t="shared" ca="1" si="124"/>
        <v/>
      </c>
      <c r="IX34" s="202" t="str">
        <f t="shared" ca="1" si="125"/>
        <v>StdDisziplinen[MaxTextSt]</v>
      </c>
      <c r="IY34" s="202" t="str">
        <f t="shared" ca="1" si="18"/>
        <v/>
      </c>
      <c r="IZ34" s="200" t="str">
        <f>IF(NOT(GW34),INDEX(StdFehler[StdFehler],4),IF(COUNTIF(GX34:GZ34,$A$2)&gt;=$IZ$4,$A$3,SUM(GX34:GZ34)))</f>
        <v>Zu wenige Noten</v>
      </c>
      <c r="JA34" s="31"/>
      <c r="JB34" s="587" t="e">
        <f t="shared" si="19"/>
        <v>#VALUE!</v>
      </c>
      <c r="JC34" s="191" t="str">
        <f>IF(OR(Geschlecht[[#This Row],[Geschlecht (Skala)]]="",IZ34=""),"",MID(Geschlecht[[#This Row],[Geschlecht (Skala)]],1,1)&amp;MID($FE$16,1,1))</f>
        <v/>
      </c>
      <c r="JD34" s="190" t="str">
        <f>IF(OR(JC34="",IZ34=""),"",REPLACE(INDEX(StdDisziplinen[TabÜberschriftResultat],$FE$3),FIND("X",INDEX(StdDisziplinen[TabÜberschriftResultat],$FE$3),1),2,JC34))</f>
        <v/>
      </c>
      <c r="JE34" s="192" t="str">
        <f ca="1">IF(OR(JD34="",IZ34=Stammdaten!$AZ$5),"",IF(OR(IZ34=Stammdaten!$AX$22,IZ34=Stammdaten!$AX$19),Stammdaten!$AX$19,IF(ISNA(INDEX(INDIRECT(JD34),MATCH(GeräteturnenGerundet[[#This Row],[Rundung]],INDIRECT(JD34),$JD$16))),IF($JD$16=-1,LARGE(INDIRECT(JD34),1),SMALL(INDIRECT(JD34),1)),INDEX(INDIRECT(JD34),MATCH(GeräteturnenGerundet[[#This Row],[Rundung]],INDIRECT(JD34),$JD$16)))))</f>
        <v/>
      </c>
      <c r="JG34" s="18" t="str">
        <f ca="1">IF(GeräteturnenSkalawert[[#This Row],[Skala-Wert]]="","",REPLACE(INDEX(StdDisziplinen[TabÜberschriftNote],$FE$3),FIND("X",INDEX(StdDisziplinen[TabÜberschriftNote],$FE$3),1),2,JC34))</f>
        <v/>
      </c>
      <c r="JH34" s="45" t="str">
        <f ca="1">IF(OR(JG34="",GeräteturnenSkalawert[[#This Row],[Skala-Wert]]=Stammdaten!$AX$19),"",INDEX(INDIRECT(JG34),MATCH(GeräteturnenSkalawert[[#This Row],[Skala-Wert]],INDIRECT(JD34),0)))</f>
        <v/>
      </c>
      <c r="JI34" s="31"/>
      <c r="JJ34" s="597"/>
      <c r="JK34" s="190"/>
      <c r="JL34" s="587">
        <f>IF(JL$16,IF(JM$16=0.5,MROUND(ParkourResultat[[#This Row],[Resultat]],JM$16),ROUND(ParkourResultat[[#This Row],[Resultat]],JM$16)),ROUNDDOWN(ParkourResultat[[#This Row],[Resultat]],JM$16))</f>
        <v>0</v>
      </c>
      <c r="JM34" s="191" t="str">
        <f>IF(OR(Geschlecht[[#This Row],[Geschlecht (Skala)]]="",JJ$16=""),"",MID(Geschlecht[[#This Row],[Geschlecht (Skala)]],1,1)&amp;MID(JJ$16,1,1))</f>
        <v/>
      </c>
      <c r="JN34" s="190" t="str">
        <f>IF(OR(JM34="",ParkourResultat[[#This Row],[Resultat]]=""),"",REPLACE(INDEX(StdDisziplinen[TabÜberschriftResultat],JJ$3),FIND("X",INDEX(StdDisziplinen[TabÜberschriftResultat],JJ$3),1),2,JM34))</f>
        <v/>
      </c>
      <c r="JO34" s="192" t="str">
        <f ca="1">IF(JN34="","",IF(OR(ParkourResultat[[#This Row],[Resultat]]=Stammdaten!$AX$22,ParkourResultat[[#This Row],[Resultat]]=Stammdaten!$AX$19),Stammdaten!$AX$19,IF(ISNA(INDEX(INDIRECT(JN34),MATCH(ParkourGerundet[[#This Row],[Rundung]],INDIRECT(JN34),JN$18))),IF(JN$18=-1,LARGE(INDIRECT(JN34),1),SMALL(INDIRECT(JN34),1)),INDEX(INDIRECT(JN34),MATCH(ParkourGerundet[[#This Row],[Rundung]],INDIRECT(JN34),JN$18)))))</f>
        <v/>
      </c>
      <c r="JQ34" s="18" t="str">
        <f ca="1">IF(ParkourSkalawert[[#This Row],[Skala-Wert]]="","",REPLACE(INDEX(StdDisziplinen[TabÜberschriftNote],JJ$3),FIND("X",INDEX(StdDisziplinen[TabÜberschriftNote],JJ$3),1),2,JM34))</f>
        <v/>
      </c>
      <c r="JR34" s="31" t="str">
        <f ca="1">IF(OR(JQ34="",ParkourSkalawert[[#This Row],[Skala-Wert]]=Stammdaten!$AX$19),"",INDEX(INDIRECT(JQ34),MATCH(ParkourSkalawert[[#This Row],[Skala-Wert]],INDIRECT(JN34),0)))</f>
        <v/>
      </c>
      <c r="JS34" s="96"/>
      <c r="JT34" s="47" t="str">
        <f ca="1">IF(OR(ISNUMBER(ParkourSkalawert[[#This Row],[Skala-Wert]]),ParkourSkalawert[[#This Row],[Skala-Wert]]=$A$3),INDEX(INDIRECT($JU$1),MATCH($JJ$3,INDIRECT($B$5),0)),"")</f>
        <v/>
      </c>
      <c r="JU34" s="200" t="str">
        <f t="shared" ca="1" si="126"/>
        <v>StdDisziplinen[MaxTextSt]</v>
      </c>
      <c r="JV34" s="200" t="str">
        <f t="shared" ca="1" si="127"/>
        <v/>
      </c>
      <c r="JW34" s="98">
        <f ca="1">IF(GeräteturnenSkalawert[[#This Row],[Skala-Wert]]=$A$3,$A$2,IF(GeräteturnenNote[[#This Row],[Note]]="",0,GeräteturnenNote[[#This Row],[Note]]))</f>
        <v>0</v>
      </c>
      <c r="JX34" s="96">
        <f ca="1">IF(ParkourSkalawert[[#This Row],[Skala-Wert]]=$A$3,$A$2,IF(ParkourNote[[#This Row],[Note]]="",0,ParkourNote[[#This Row],[Note]]))</f>
        <v>0</v>
      </c>
      <c r="JY34" s="200">
        <f t="shared" ca="1" si="128"/>
        <v>0</v>
      </c>
      <c r="JZ34" s="200">
        <f t="shared" ca="1" si="129"/>
        <v>0</v>
      </c>
      <c r="KA34" s="202">
        <f t="shared" ca="1" si="130"/>
        <v>0</v>
      </c>
      <c r="KB34" s="98" t="str">
        <f t="shared" ca="1" si="20"/>
        <v>!</v>
      </c>
      <c r="KC34" s="98" t="str">
        <f t="shared" ca="1" si="21"/>
        <v>!</v>
      </c>
      <c r="KD34" s="202" t="str">
        <f ca="1">IF(NOT(KA34),INDEX(StdFehler[StdFehler],4),IF(JZ34=$KA$12,$A$3,IF(JW34=$A$2,JX34,IF(JX34=$A$2,JW34,CONCATENATE(JW34,", ",JX34)))))</f>
        <v>Zu wenige Noten</v>
      </c>
      <c r="KE34" s="202" t="str">
        <f t="shared" ca="1" si="131"/>
        <v>Zu wenige Noten</v>
      </c>
      <c r="KF34" s="31"/>
      <c r="KG34" s="56" t="str">
        <f ca="1">IF(NOT(KA34),INDEX(StdFehler[StdFehler],4),IF(JZ34=$KA$12,$A$3,ROUND(AVERAGE(KB34:KC34)/$KG$4,0)*$KG$4))</f>
        <v>Zu wenige Noten</v>
      </c>
      <c r="KH34" s="31"/>
      <c r="KI34" s="599"/>
      <c r="KJ34" s="190"/>
      <c r="KK34" s="586">
        <f>IF(KK$16,IF(KL$16=0.5,MROUND(TanzenResultat[[#This Row],[Resultat]],KL$16),ROUND(TanzenResultat[[#This Row],[Resultat]],KL$16)),ROUNDDOWN(TanzenResultat[[#This Row],[Resultat]],KL$16))</f>
        <v>0</v>
      </c>
      <c r="KL34" s="191" t="str">
        <f>IF(OR(Geschlecht[[#This Row],[Geschlecht (Skala)]]="",KI$16=""),"",MID(Geschlecht[[#This Row],[Geschlecht (Skala)]],1,1)&amp;MID(KI$16,1,1))</f>
        <v/>
      </c>
      <c r="KM34" s="190" t="str">
        <f>IF(OR(KL34="",TanzenResultat[[#This Row],[Resultat]]=""),"",REPLACE(INDEX(StdDisziplinen[TabÜberschriftResultat],KI$3),FIND("X",INDEX(StdDisziplinen[TabÜberschriftResultat],KI$3),1),2,KL34))</f>
        <v/>
      </c>
      <c r="KN34" s="31" t="str">
        <f ca="1">IF(KM34="","",IF(OR(TanzenResultat[[#This Row],[Resultat]]=Stammdaten!$AX$22,TanzenResultat[[#This Row],[Resultat]]=Stammdaten!$AX$19),Stammdaten!$AX$19,IF(ISNA(INDEX(INDIRECT(KM34),MATCH(TanzenGerundet[[#This Row],[Rundung]],INDIRECT(KM34),KM$18))),IF(KM$18=-1,LARGE(INDIRECT(KM34),1),SMALL(INDIRECT(KM34),1)),INDEX(INDIRECT(KM34),MATCH(TanzenGerundet[[#This Row],[Rundung]],INDIRECT(KM34),KM$18)))))</f>
        <v/>
      </c>
      <c r="KP34" s="18" t="str">
        <f ca="1">IF(TanzenSkalawert[[#This Row],[Skala-Wert]]="","",REPLACE(INDEX(StdDisziplinen[TabÜberschriftNote],KI$3),FIND("X",INDEX(StdDisziplinen[TabÜberschriftNote],KI$3),1),2,KL34))</f>
        <v/>
      </c>
      <c r="KQ34" s="45" t="str">
        <f ca="1">IF(OR(KP34="",TanzenSkalawert[[#This Row],[Skala-Wert]]=Stammdaten!$AX$19),"",INDEX(INDIRECT(KP34),MATCH(TanzenSkalawert[[#This Row],[Skala-Wert]],INDIRECT(KM34),0)))</f>
        <v/>
      </c>
      <c r="KR34" s="31"/>
      <c r="KS34" s="597"/>
      <c r="KT34" s="190"/>
      <c r="KU34" s="587">
        <f>IF(KU$16,IF(KV$16=0.5,MROUND(RopeSkippingResultat[[#This Row],[Resultat]],KV$16),ROUND(RopeSkippingResultat[[#This Row],[Resultat]],KV$16)),ROUNDDOWN(RopeSkippingResultat[[#This Row],[Resultat]],KV$16))</f>
        <v>0</v>
      </c>
      <c r="KV34" s="191" t="str">
        <f>IF(OR(Geschlecht[[#This Row],[Geschlecht (Skala)]]="",KS$16=""),"",MID(Geschlecht[[#This Row],[Geschlecht (Skala)]],1,1)&amp;MID(KS$16,1,1))</f>
        <v/>
      </c>
      <c r="KW34" s="190" t="str">
        <f>IF(OR(KV34="",RopeSkippingResultat[[#This Row],[Resultat]]=""),"",REPLACE(INDEX(StdDisziplinen[TabÜberschriftResultat],KS$3),FIND("X",INDEX(StdDisziplinen[TabÜberschriftResultat],KS$3),1),2,KV34))</f>
        <v/>
      </c>
      <c r="KX34" s="192" t="str">
        <f ca="1">IF(KW34="","",IF(OR(RopeSkippingResultat[[#This Row],[Resultat]]=Stammdaten!$AX$22,RopeSkippingResultat[[#This Row],[Resultat]]=Stammdaten!$AX$19),Stammdaten!$AX$19,IF(ISNA(INDEX(INDIRECT(KW34),MATCH(RopeSkippingGerundet[[#This Row],[Rundung]],INDIRECT(KW34),KW$18))),IF(KW$18=-1,LARGE(INDIRECT(KW34),1),SMALL(INDIRECT(KW34),1)),INDEX(INDIRECT(KW34),MATCH(RopeSkippingGerundet[[#This Row],[Rundung]],INDIRECT(KW34),KW$18)))))</f>
        <v/>
      </c>
      <c r="KZ34" s="18" t="str">
        <f ca="1">IF(RopeSkippingSkalawert[[#This Row],[Skala-Wert]]="","",REPLACE(INDEX(StdDisziplinen[TabÜberschriftNote],KS$3),FIND("X",INDEX(StdDisziplinen[TabÜberschriftNote],KS$3),1),2,KV34))</f>
        <v/>
      </c>
      <c r="LA34" s="45" t="str">
        <f ca="1">IF(OR(KZ34="",RopeSkippingSkalawert[[#This Row],[Skala-Wert]]=Stammdaten!$AX$19),"",INDEX(INDIRECT(KZ34),MATCH(RopeSkippingSkalawert[[#This Row],[Skala-Wert]],INDIRECT(KW34),0)))</f>
        <v/>
      </c>
      <c r="LB34" s="31"/>
      <c r="LC34" s="599"/>
      <c r="LD34" s="190"/>
      <c r="LE34" s="586">
        <f>IF(LE$16,IF(LF$16=0.5,MROUND(AerobicResultat[[#This Row],[Resultat]],LF$16),ROUND(AerobicResultat[[#This Row],[Resultat]],LF$16)),ROUNDDOWN(AerobicResultat[[#This Row],[Resultat]],LF$16))</f>
        <v>0</v>
      </c>
      <c r="LF34" s="191" t="str">
        <f>IF(OR(Geschlecht[[#This Row],[Geschlecht (Skala)]]="",LC$16=""),"",MID(Geschlecht[[#This Row],[Geschlecht (Skala)]],1,1)&amp;MID(LC$16,1,1))</f>
        <v/>
      </c>
      <c r="LG34" s="190" t="str">
        <f>IF(OR(LF34="",AerobicResultat[[#This Row],[Resultat]]=""),"",REPLACE(INDEX(StdDisziplinen[TabÜberschriftResultat],LC$3),FIND("X",INDEX(StdDisziplinen[TabÜberschriftResultat],LC$3),1),2,LF34))</f>
        <v/>
      </c>
      <c r="LH34" s="31" t="str">
        <f ca="1">IF(LG34="","",IF(OR(AerobicResultat[[#This Row],[Resultat]]=Stammdaten!$AX$22,AerobicResultat[[#This Row],[Resultat]]=Stammdaten!$AX$19),Stammdaten!$AX$19,IF(ISNA(INDEX(INDIRECT(LG34),MATCH(AerobicGerundet[[#This Row],[Rundung]],INDIRECT(LG34),LG$18))),IF(LG$18=-1,LARGE(INDIRECT(LG34),1),SMALL(INDIRECT(LG34),1)),INDEX(INDIRECT(LG34),MATCH(AerobicGerundet[[#This Row],[Rundung]],INDIRECT(LG34),LG$18)))))</f>
        <v/>
      </c>
      <c r="LJ34" s="18" t="str">
        <f ca="1">IF(AerobicSkalawert[[#This Row],[Skala-Wert]]="","",REPLACE(INDEX(StdDisziplinen[TabÜberschriftNote],LC$3),FIND("X",INDEX(StdDisziplinen[TabÜberschriftNote],LC$3),1),2,LF34))</f>
        <v/>
      </c>
      <c r="LK34" s="45" t="str">
        <f ca="1">IF(OR(LJ34="",AerobicSkalawert[[#This Row],[Skala-Wert]]=Stammdaten!$AX$19),"",INDEX(INDIRECT(LJ34),MATCH(AerobicSkalawert[[#This Row],[Skala-Wert]],INDIRECT(LG34),0)))</f>
        <v/>
      </c>
      <c r="LL34" s="31"/>
      <c r="LM34" s="45" t="str">
        <f ca="1">IF(TanzenSkalawert[[#This Row],[Skala-Wert]]=$A$3,$A$2,IF(ISNUMBER(TanzenSkalawert[[#This Row],[Skala-Wert]]),TanzenNote[[#This Row],[Note]],"!"))</f>
        <v>!</v>
      </c>
      <c r="LN34" s="45" t="str">
        <f ca="1">IF(RopeSkippingSkalawert[[#This Row],[Skala-Wert]]=$A$3,$A$2,IF(ISNUMBER(RopeSkippingSkalawert[[#This Row],[Skala-Wert]]),RopeSkippingNote[[#This Row],[Note]],"!"))</f>
        <v>!</v>
      </c>
      <c r="LO34" s="45" t="str">
        <f ca="1">IF(AerobicSkalawert[[#This Row],[Skala-Wert]]=$A$3,$A$2,IF(ISNUMBER(AerobicSkalawert[[#This Row],[Skala-Wert]]),AerobicNote[[#This Row],[Note]],"!"))</f>
        <v>!</v>
      </c>
      <c r="LP34" s="36">
        <f t="shared" ca="1" si="132"/>
        <v>0</v>
      </c>
      <c r="LQ34" s="36">
        <f t="shared" ca="1" si="133"/>
        <v>0</v>
      </c>
      <c r="LR34" s="244" t="str">
        <f t="shared" ca="1" si="22"/>
        <v>nd</v>
      </c>
      <c r="LS34" s="244" t="str">
        <f t="shared" ca="1" si="23"/>
        <v>nd</v>
      </c>
      <c r="LT34" s="244" t="str">
        <f t="shared" ca="1" si="24"/>
        <v>nd</v>
      </c>
      <c r="LU34" s="242" t="str">
        <f t="shared" ca="1" si="25"/>
        <v/>
      </c>
      <c r="LV34" s="242" t="str">
        <f t="shared" ca="1" si="134"/>
        <v/>
      </c>
      <c r="LW34" s="242" t="str">
        <f t="shared" ca="1" si="135"/>
        <v/>
      </c>
      <c r="LX34" s="242" t="str">
        <f ca="1">IF(LW34="",Stammdaten!$AM$4,INDEX(INDIRECT($B$4),MATCH($LW34,INDIRECT($B$5),0)))</f>
        <v>Darstellen und Tanzen</v>
      </c>
      <c r="LY34" s="242" t="str">
        <f ca="1">IF(LW34="",Stammdaten!$AY$27,IF(ISNUMBER(LU34),LX34,IF(ISNUMBER(LV34),TRIM(Stammdaten!$AX$25),"")))</f>
        <v>nicht durchgeführt</v>
      </c>
      <c r="LZ34" s="242" t="str">
        <f t="shared" ca="1" si="136"/>
        <v>Darstellen und Tanzen</v>
      </c>
      <c r="MA34" s="242" t="str">
        <f t="shared" ca="1" si="137"/>
        <v/>
      </c>
      <c r="MB34" s="242" t="str">
        <f t="shared" ca="1" si="26"/>
        <v>Darstellen und TanzenResultat[@Resultat]</v>
      </c>
      <c r="MC34" s="274" t="str">
        <f t="shared" ca="1" si="138"/>
        <v/>
      </c>
      <c r="MD34" s="242" t="str">
        <f t="shared" ca="1" si="139"/>
        <v>Darstellen und TanzenSkalawert[@[Skala-Wert]]</v>
      </c>
      <c r="ME34" s="274" t="str">
        <f t="shared" ca="1" si="140"/>
        <v/>
      </c>
      <c r="MF34" s="47" t="str">
        <f t="shared" ca="1" si="27"/>
        <v/>
      </c>
      <c r="MG34" s="200" t="str">
        <f t="shared" ca="1" si="141"/>
        <v>StdDisziplinen[MaxTextSt]</v>
      </c>
      <c r="MH34" s="200" t="str">
        <f t="shared" ca="1" si="142"/>
        <v/>
      </c>
      <c r="MI34" s="45"/>
      <c r="MJ34" s="98" t="str">
        <f ca="1">IF(LP34&gt;0,MAX(LM34:LO34),IF(LQ34&gt;0,$A$3,INDEX(StdFehler[StdFehler],4)))</f>
        <v>Zu wenige Noten</v>
      </c>
      <c r="MK34" s="45"/>
      <c r="ML34" s="37"/>
      <c r="MM34" s="190"/>
      <c r="MN34" s="586">
        <f>IF(MN$16,IF(MO$16=0.5,MROUND(BasketballResultat[[#This Row],[Resultat]],MO$16),ROUND(BasketballResultat[[#This Row],[Resultat]],MO$16)),ROUNDDOWN(BasketballResultat[[#This Row],[Resultat]],MO$16))</f>
        <v>0</v>
      </c>
      <c r="MO34" s="191" t="str">
        <f>IF(OR(Geschlecht[[#This Row],[Geschlecht (Skala)]]="",ML$16=""),"",MID(Geschlecht[[#This Row],[Geschlecht (Skala)]],1,1)&amp;MID(ML$16,1,1))</f>
        <v/>
      </c>
      <c r="MP34" s="190" t="str">
        <f>IF(OR(MO34="",BasketballResultat[[#This Row],[Resultat]]=""),"",REPLACE(INDEX(StdDisziplinen[TabÜberschriftResultat],ML$3),FIND("X",INDEX(StdDisziplinen[TabÜberschriftResultat],ML$3),1),2,MO34))</f>
        <v/>
      </c>
      <c r="MQ34" s="31" t="str">
        <f ca="1">IF(MP34="","",IF(OR(BasketballResultat[[#This Row],[Resultat]]=Stammdaten!$AX$22,BasketballResultat[[#This Row],[Resultat]]=Stammdaten!$AX$19),Stammdaten!$AX$19,IF(ISNA(INDEX(INDIRECT(MP34),MATCH(BasketballGerundet[[#This Row],[Rundung]],INDIRECT(MP34),MP$18))),IF(MP$18=-1,LARGE(INDIRECT(MP34),1),SMALL(INDIRECT(MP34),1)),INDEX(INDIRECT(MP34),MATCH(BasketballGerundet[[#This Row],[Rundung]],INDIRECT(MP34),MP$18)))))</f>
        <v/>
      </c>
      <c r="MS34" s="18" t="str">
        <f ca="1">IF(BasketballSkalawert[[#This Row],[Skala-Wert]]="","",REPLACE(INDEX(StdDisziplinen[TabÜberschriftNote],ML$3),FIND("X",INDEX(StdDisziplinen[TabÜberschriftNote],ML$3),1),2,MO34))</f>
        <v/>
      </c>
      <c r="MT34" s="31" t="str">
        <f ca="1">IF(OR(MS34="",BasketballSkalawert[[#This Row],[Skala-Wert]]=Stammdaten!$AX$19),"",INDEX(INDIRECT(MS34),MATCH(BasketballSkalawert[[#This Row],[Skala-Wert]],INDIRECT(MP34),0)))</f>
        <v/>
      </c>
      <c r="MU34" s="31"/>
      <c r="MV34" s="37"/>
      <c r="MW34" s="190"/>
      <c r="MX34" s="586">
        <f>IF(MX$16,IF(MY$16=0.5,MROUND(FussballResultat[[#This Row],[Resultat]],MY$16),ROUND(FussballResultat[[#This Row],[Resultat]],MY$16)),ROUNDDOWN(FussballResultat[[#This Row],[Resultat]],MY$16))</f>
        <v>0</v>
      </c>
      <c r="MY34" s="191" t="str">
        <f>IF(OR(Geschlecht[[#This Row],[Geschlecht (Skala)]]="",MV$16=""),"",MID(Geschlecht[[#This Row],[Geschlecht (Skala)]],1,1)&amp;MID(MV$16,1,1))</f>
        <v/>
      </c>
      <c r="MZ34" s="190" t="str">
        <f>IF(OR(MY34="",FussballResultat[[#This Row],[Resultat]]=""),"",REPLACE(INDEX(StdDisziplinen[TabÜberschriftResultat],MV$3),FIND("X",INDEX(StdDisziplinen[TabÜberschriftResultat],MV$3),1),2,MY34))</f>
        <v/>
      </c>
      <c r="NA34" s="31" t="str">
        <f ca="1">IF(MZ34="","",IF(OR(FussballResultat[[#This Row],[Resultat]]=Stammdaten!$AX$22,FussballResultat[[#This Row],[Resultat]]=Stammdaten!$AX$19),Stammdaten!$AX$19,IF(ISNA(INDEX(INDIRECT(MZ34),MATCH(FussballGerundet[[#This Row],[Rundung]],INDIRECT(MZ34),MZ$18))),IF(MZ$18=-1,LARGE(INDIRECT(MZ34),1),SMALL(INDIRECT(MZ34),1)),INDEX(INDIRECT(MZ34),MATCH(FussballGerundet[[#This Row],[Rundung]],INDIRECT(MZ34),MZ$18)))))</f>
        <v/>
      </c>
      <c r="NC34" s="18" t="str">
        <f ca="1">IF(FussballSkalawert[[#This Row],[Skala-Wert]]="","",REPLACE(INDEX(StdDisziplinen[TabÜberschriftNote],MV$3),FIND("X",INDEX(StdDisziplinen[TabÜberschriftNote],MV$3),1),2,MY34))</f>
        <v/>
      </c>
      <c r="ND34" s="31" t="str">
        <f ca="1">IF(OR(NC34="",FussballSkalawert[[#This Row],[Skala-Wert]]=Stammdaten!$AX$19),"",INDEX(INDIRECT(NC34),MATCH(FussballSkalawert[[#This Row],[Skala-Wert]],INDIRECT(MZ34),0)))</f>
        <v/>
      </c>
      <c r="NE34" s="31"/>
      <c r="NF34" s="37"/>
      <c r="NG34" s="190"/>
      <c r="NH34" s="586">
        <f>IF(NH$16,IF(NI$16=0.5,MROUND(HandballResultat[[#This Row],[Resultat]],NI$16),ROUND(HandballResultat[[#This Row],[Resultat]],NI$16)),ROUNDDOWN(HandballResultat[[#This Row],[Resultat]],NI$16))</f>
        <v>0</v>
      </c>
      <c r="NI34" s="191" t="str">
        <f>IF(OR(Geschlecht[[#This Row],[Geschlecht (Skala)]]="",NF$16=""),"",MID(Geschlecht[[#This Row],[Geschlecht (Skala)]],1,1)&amp;MID(NF$16,1,1))</f>
        <v/>
      </c>
      <c r="NJ34" s="190" t="str">
        <f>IF(OR(NI34="",HandballResultat[[#This Row],[Resultat]]=""),"",REPLACE(INDEX(StdDisziplinen[TabÜberschriftResultat],NF$3),FIND("X",INDEX(StdDisziplinen[TabÜberschriftResultat],NF$3),1),2,NI34))</f>
        <v/>
      </c>
      <c r="NK34" s="31" t="str">
        <f ca="1">IF(NJ34="","",IF(OR(HandballResultat[[#This Row],[Resultat]]=Stammdaten!$AX$22,HandballResultat[[#This Row],[Resultat]]=Stammdaten!$AX$19),Stammdaten!$AX$19,IF(ISNA(INDEX(INDIRECT(NJ34),MATCH(HandballGerundet[[#This Row],[Rundung]],INDIRECT(NJ34),NJ$18))),IF(NJ$18=-1,LARGE(INDIRECT(NJ34),1),SMALL(INDIRECT(NJ34),1)),INDEX(INDIRECT(NJ34),MATCH(HandballGerundet[[#This Row],[Rundung]],INDIRECT(NJ34),NJ$18)))))</f>
        <v/>
      </c>
      <c r="NM34" s="18" t="str">
        <f ca="1">IF(HandballSkalawert[[#This Row],[Skala-Wert]]="","",REPLACE(INDEX(StdDisziplinen[TabÜberschriftNote],NF$3),FIND("X",INDEX(StdDisziplinen[TabÜberschriftNote],NF$3),1),2,NI34))</f>
        <v/>
      </c>
      <c r="NN34" s="31" t="str">
        <f ca="1">IF(OR(NM34="",HandballSkalawert[[#This Row],[Skala-Wert]]=Stammdaten!$AX$19),"",INDEX(INDIRECT(NM34),MATCH(HandballSkalawert[[#This Row],[Skala-Wert]],INDIRECT(NJ34),0)))</f>
        <v/>
      </c>
      <c r="NO34" s="31"/>
      <c r="NP34" s="37"/>
      <c r="NQ34" s="190"/>
      <c r="NR34" s="586">
        <f>IF(NR$16,IF(NS$16=0.5,MROUND(UnihockeyResultat[[#This Row],[Resultat]],NS$16),ROUND(UnihockeyResultat[[#This Row],[Resultat]],NS$16)),ROUNDDOWN(UnihockeyResultat[[#This Row],[Resultat]],NS$16))</f>
        <v>0</v>
      </c>
      <c r="NS34" s="191" t="str">
        <f>IF(OR(Geschlecht[[#This Row],[Geschlecht (Skala)]]="",NP$16=""),"",MID(Geschlecht[[#This Row],[Geschlecht (Skala)]],1,1)&amp;MID(NP$16,1,1))</f>
        <v/>
      </c>
      <c r="NT34" s="190" t="str">
        <f>IF(OR(NS34="",UnihockeyResultat[[#This Row],[Resultat]]=""),"",REPLACE(INDEX(StdDisziplinen[TabÜberschriftResultat],NP$3),FIND("X",INDEX(StdDisziplinen[TabÜberschriftResultat],NP$3),1),2,NS34))</f>
        <v/>
      </c>
      <c r="NU34" s="31" t="str">
        <f ca="1">IF(NT34="","",IF(OR(UnihockeyResultat[[#This Row],[Resultat]]=Stammdaten!$AX$22,UnihockeyResultat[[#This Row],[Resultat]]=Stammdaten!$AX$19),Stammdaten!$AX$19,IF(ISNA(INDEX(INDIRECT(NT34),MATCH(UnihockeyGerundet[[#This Row],[Rundung]],INDIRECT(NT34),NT$18))),IF(NT$18=-1,LARGE(INDIRECT(NT34),1),SMALL(INDIRECT(NT34),1)),INDEX(INDIRECT(NT34),MATCH(UnihockeyGerundet[[#This Row],[Rundung]],INDIRECT(NT34),NT$18)))))</f>
        <v/>
      </c>
      <c r="NW34" s="18" t="str">
        <f ca="1">IF(UnihockeySkalawert[[#This Row],[Skala-Wert]]="","",REPLACE(INDEX(StdDisziplinen[TabÜberschriftNote],NP$3),FIND("X",INDEX(StdDisziplinen[TabÜberschriftNote],NP$3),1),2,NS34))</f>
        <v/>
      </c>
      <c r="NX34" s="31" t="str">
        <f ca="1">IF(OR(NW34="",UnihockeySkalawert[[#This Row],[Skala-Wert]]=Stammdaten!$AX$19),"",INDEX(INDIRECT(NW34),MATCH(UnihockeySkalawert[[#This Row],[Skala-Wert]],INDIRECT(NT34),0)))</f>
        <v/>
      </c>
      <c r="NY34" s="31"/>
      <c r="NZ34" s="597"/>
      <c r="OA34" s="190"/>
      <c r="OB34" s="587">
        <f>IF(OB$16,IF(OC$16=0.5,MROUND(VolleyballResultat[[#This Row],[Resultat]],OC$16),ROUND(VolleyballResultat[[#This Row],[Resultat]],OC$16)),ROUNDDOWN(VolleyballResultat[[#This Row],[Resultat]],OC$16))</f>
        <v>0</v>
      </c>
      <c r="OC34" s="191" t="str">
        <f>IF(OR(Geschlecht[[#This Row],[Geschlecht (Skala)]]="",NZ$16=""),"",MID(Geschlecht[[#This Row],[Geschlecht (Skala)]],1,1)&amp;MID(NZ$16,1,1))</f>
        <v/>
      </c>
      <c r="OD34" s="190" t="str">
        <f>IF(OR(OC34="",VolleyballResultat[[#This Row],[Resultat]]=""),"",REPLACE(INDEX(StdDisziplinen[TabÜberschriftResultat],NZ$3),FIND("X",INDEX(StdDisziplinen[TabÜberschriftResultat],NZ$3),1),2,OC34))</f>
        <v/>
      </c>
      <c r="OE34" s="192" t="str">
        <f ca="1">IF(OD34="","",IF(OR(VolleyballResultat[[#This Row],[Resultat]]=Stammdaten!$AX$22,VolleyballResultat[[#This Row],[Resultat]]=Stammdaten!$AX$19),Stammdaten!$AX$19,IF(ISNA(INDEX(INDIRECT(OD34),MATCH(VolleyballGerundet[[#This Row],[Rundung]],INDIRECT(OD34),OD$18))),IF(OD$18=-1,LARGE(INDIRECT(OD34),1),SMALL(INDIRECT(OD34),1)),INDEX(INDIRECT(OD34),MATCH(VolleyballGerundet[[#This Row],[Rundung]],INDIRECT(OD34),OD$18)))))</f>
        <v/>
      </c>
      <c r="OG34" s="18" t="str">
        <f ca="1">IF(VolleyballSkalawert[[#This Row],[Skala-Wert]]="","",REPLACE(INDEX(StdDisziplinen[TabÜberschriftNote],NZ$3),FIND("X",INDEX(StdDisziplinen[TabÜberschriftNote],NZ$3),1),2,OC34))</f>
        <v/>
      </c>
      <c r="OH34" s="31" t="str">
        <f ca="1">IF(OR(OG34="",VolleyballSkalawert[[#This Row],[Skala-Wert]]=Stammdaten!$AX$19),"",INDEX(INDIRECT(OG34),MATCH(VolleyballSkalawert[[#This Row],[Skala-Wert]],INDIRECT(OD34),0)))</f>
        <v/>
      </c>
      <c r="OI34" s="45"/>
      <c r="OJ34" s="31">
        <f ca="1">IF(BasketballSkalawert[[#This Row],[Skala-Wert]]=$A$3,$A$2,IF(BasketballNote[[#This Row],[Note]]="",0,BasketballNote[[#This Row],[Note]]))</f>
        <v>0</v>
      </c>
      <c r="OK34" s="31">
        <f ca="1">IF(FussballSkalawert[[#This Row],[Skala-Wert]]=$A$3,$A$2,IF(FussballNote[[#This Row],[Note]]="",0,FussballNote[[#This Row],[Note]]))</f>
        <v>0</v>
      </c>
      <c r="OL34" s="31">
        <f ca="1">IF(HandballSkalawert[[#This Row],[Skala-Wert]]=$A$3,$A$2,IF(HandballNote[[#This Row],[Note]]="",0,HandballNote[[#This Row],[Note]]))</f>
        <v>0</v>
      </c>
      <c r="OM34" s="31">
        <f ca="1">IF(UnihockeySkalawert[[#This Row],[Skala-Wert]]=$A$3,$A$2,IF(UnihockeyNote[[#This Row],[Note]]="",0,UnihockeyNote[[#This Row],[Note]]))</f>
        <v>0</v>
      </c>
      <c r="ON34" s="31">
        <f ca="1">IF(VolleyballSkalawert[[#This Row],[Skala-Wert]]=$A$3,$A$2,IF(VolleyballNote[[#This Row],[Note]]="",0,VolleyballNote[[#This Row],[Note]]))</f>
        <v>0</v>
      </c>
      <c r="OO34" s="202">
        <f t="shared" ca="1" si="28"/>
        <v>0</v>
      </c>
      <c r="OP34" s="202">
        <f t="shared" ca="1" si="29"/>
        <v>0</v>
      </c>
      <c r="OQ34" s="202">
        <f t="shared" ca="1" si="143"/>
        <v>0</v>
      </c>
      <c r="OR34" s="96" t="str">
        <f t="shared" ca="1" si="144"/>
        <v>!</v>
      </c>
      <c r="OS34" s="96" t="str">
        <f t="shared" ca="1" si="30"/>
        <v>!</v>
      </c>
      <c r="OT34" s="96" t="str">
        <f t="shared" ca="1" si="31"/>
        <v>!</v>
      </c>
      <c r="OU34" s="96" t="str">
        <f ca="1">IF(NOT(OQ34),INDEX(StdFehler[StdFehler],4),IF(COUNTIF(OR34:OT34,$A$2)&gt;=$OQ$13,$A$3,ROUND(AVERAGE(OR34:OT34)/$RX$4,0)*$RX$4))</f>
        <v>Zu wenige Noten</v>
      </c>
      <c r="OV34" s="244" t="str">
        <f t="shared" ca="1" si="145"/>
        <v>nd</v>
      </c>
      <c r="OW34" s="244" t="str">
        <f t="shared" ca="1" si="146"/>
        <v>nd</v>
      </c>
      <c r="OX34" s="244" t="str">
        <f t="shared" ca="1" si="147"/>
        <v>nd</v>
      </c>
      <c r="OY34" s="244" t="str">
        <f t="shared" ca="1" si="148"/>
        <v>nd</v>
      </c>
      <c r="OZ34" s="244" t="str">
        <f t="shared" ca="1" si="149"/>
        <v>nd</v>
      </c>
      <c r="PA34" s="202" t="b">
        <f t="shared" ca="1" si="150"/>
        <v>0</v>
      </c>
      <c r="PB34" s="202">
        <f t="shared" ca="1" si="151"/>
        <v>1</v>
      </c>
      <c r="PC34" s="202">
        <f t="shared" ca="1" si="152"/>
        <v>0</v>
      </c>
      <c r="PD34" s="96" t="str">
        <f t="shared" ca="1" si="153"/>
        <v/>
      </c>
      <c r="PE34" s="96" t="str">
        <f t="shared" ca="1" si="154"/>
        <v/>
      </c>
      <c r="PF34" s="200">
        <f t="shared" ca="1" si="155"/>
        <v>0</v>
      </c>
      <c r="PG34" s="202" t="str">
        <f t="shared" ca="1" si="156"/>
        <v/>
      </c>
      <c r="PH34" s="200" t="str">
        <f t="shared" ca="1" si="157"/>
        <v/>
      </c>
      <c r="PI34" s="200" t="str">
        <f t="shared" ca="1" si="158"/>
        <v/>
      </c>
      <c r="PJ34" s="200" t="str">
        <f t="shared" ca="1" si="159"/>
        <v/>
      </c>
      <c r="PK34" s="242" t="str">
        <f t="shared" ca="1" si="160"/>
        <v/>
      </c>
      <c r="PL34" s="242" t="str">
        <f t="shared" ca="1" si="161"/>
        <v/>
      </c>
      <c r="PM34" s="242" t="str">
        <f t="shared" ca="1" si="162"/>
        <v/>
      </c>
      <c r="PN34" s="242" t="str">
        <f t="shared" ca="1" si="163"/>
        <v>Erste Spielsportart</v>
      </c>
      <c r="PO34" s="242" t="str">
        <f ca="1">IF(PN34=$PM$11,Stammdaten!$AY$27,IF(PR34=$A$2,TRIM(Stammdaten!$AX$25),""))</f>
        <v>nicht durchgeführt</v>
      </c>
      <c r="PP34" s="242" t="str">
        <f t="shared" ca="1" si="164"/>
        <v/>
      </c>
      <c r="PQ34" s="202" t="str">
        <f t="shared" ca="1" si="165"/>
        <v>Erste SpielsportartResultat[@Resultat]</v>
      </c>
      <c r="PR34" s="98" t="str">
        <f t="shared" ca="1" si="166"/>
        <v/>
      </c>
      <c r="PS34" s="202" t="str">
        <f t="shared" ca="1" si="167"/>
        <v/>
      </c>
      <c r="PT34" s="202" t="str">
        <f t="shared" ca="1" si="168"/>
        <v>Erste SpielsportartSkalawert[@[Skala-Wert]]</v>
      </c>
      <c r="PU34" s="98" t="str">
        <f t="shared" ca="1" si="169"/>
        <v/>
      </c>
      <c r="PV34" s="202" t="str">
        <f t="shared" ca="1" si="170"/>
        <v/>
      </c>
      <c r="PW34" s="202" t="str">
        <f t="shared" ca="1" si="171"/>
        <v/>
      </c>
      <c r="PX34" s="202" t="str">
        <f t="shared" ca="1" si="172"/>
        <v>StdDisziplinen[MaxTextSt]</v>
      </c>
      <c r="PY34" s="202" t="str">
        <f t="shared" ca="1" si="173"/>
        <v/>
      </c>
      <c r="PZ34" s="202" t="b">
        <f t="shared" ca="1" si="174"/>
        <v>0</v>
      </c>
      <c r="QA34" s="202" t="str">
        <f t="shared" ca="1" si="175"/>
        <v/>
      </c>
      <c r="QB34" s="202" t="str">
        <f t="shared" ca="1" si="32"/>
        <v/>
      </c>
      <c r="QC34" s="202" t="str">
        <f t="shared" ca="1" si="176"/>
        <v/>
      </c>
      <c r="QD34" s="202" t="str">
        <f t="shared" ca="1" si="177"/>
        <v/>
      </c>
      <c r="QE34" s="242" t="str">
        <f t="shared" ca="1" si="178"/>
        <v/>
      </c>
      <c r="QF34" s="242" t="str">
        <f t="shared" ca="1" si="179"/>
        <v/>
      </c>
      <c r="QG34" s="242" t="str">
        <f t="shared" ca="1" si="180"/>
        <v>Zweite Spielsportart</v>
      </c>
      <c r="QH34" s="242" t="str">
        <f ca="1">IF(QG34=$QF$11,Stammdaten!$AY$27,IF(QK34=$A$2,TRIM(Stammdaten!$AX$25),""))</f>
        <v>nicht durchgeführt</v>
      </c>
      <c r="QI34" s="242" t="str">
        <f t="shared" ca="1" si="181"/>
        <v/>
      </c>
      <c r="QJ34" s="202" t="str">
        <f t="shared" ca="1" si="182"/>
        <v>Zweite SpielsportartResultat[@Resultat]</v>
      </c>
      <c r="QK34" s="98" t="str">
        <f t="shared" ca="1" si="183"/>
        <v/>
      </c>
      <c r="QL34" s="202" t="str">
        <f t="shared" ca="1" si="184"/>
        <v/>
      </c>
      <c r="QM34" s="202" t="str">
        <f t="shared" ca="1" si="185"/>
        <v>Zweite SpielsportartSkalawert[@[Skala-Wert]]</v>
      </c>
      <c r="QN34" s="98" t="str">
        <f t="shared" ca="1" si="186"/>
        <v/>
      </c>
      <c r="QO34" s="202" t="str">
        <f t="shared" ca="1" si="187"/>
        <v/>
      </c>
      <c r="QP34" s="202" t="str">
        <f t="shared" ca="1" si="188"/>
        <v/>
      </c>
      <c r="QQ34" s="202" t="str">
        <f t="shared" ca="1" si="189"/>
        <v>StdDisziplinen[MaxTextSt]</v>
      </c>
      <c r="QR34" s="202" t="str">
        <f t="shared" ca="1" si="190"/>
        <v/>
      </c>
      <c r="QS34" s="202" t="b">
        <f t="shared" ca="1" si="191"/>
        <v>0</v>
      </c>
      <c r="QT34" s="242" t="str">
        <f t="shared" ca="1" si="33"/>
        <v>Dritte Spielsportart</v>
      </c>
      <c r="QU34" s="242" t="str">
        <f ca="1">IF(QT34=$QT$11,MID(Stammdaten!$AX$27,2,LEN(Stammdaten!$AX$27)),IF(QX34=$A$2,TRIM(Stammdaten!$AX$25),""))</f>
        <v>nicht durchgeführt</v>
      </c>
      <c r="QV34" s="242" t="str">
        <f t="shared" ca="1" si="34"/>
        <v/>
      </c>
      <c r="QW34" s="202" t="str">
        <f t="shared" ca="1" si="192"/>
        <v>Dritte SpielsportartResultat[@Resultat]</v>
      </c>
      <c r="QX34" s="98" t="str">
        <f t="shared" ca="1" si="193"/>
        <v/>
      </c>
      <c r="QY34" s="202" t="str">
        <f t="shared" ca="1" si="35"/>
        <v/>
      </c>
      <c r="QZ34" s="202" t="str">
        <f t="shared" ca="1" si="194"/>
        <v>Dritte SpielsportartSkalawert[@[Skala-Wert]]</v>
      </c>
      <c r="RA34" s="98" t="str">
        <f t="shared" ca="1" si="224"/>
        <v/>
      </c>
      <c r="RB34" s="202" t="str">
        <f t="shared" ca="1" si="36"/>
        <v/>
      </c>
      <c r="RC34" s="202" t="str">
        <f t="shared" ca="1" si="196"/>
        <v/>
      </c>
      <c r="RD34" s="202" t="str">
        <f t="shared" ca="1" si="197"/>
        <v>StdDisziplinen[MaxTextSt]</v>
      </c>
      <c r="RE34" s="202" t="str">
        <f t="shared" ca="1" si="37"/>
        <v/>
      </c>
      <c r="RF34" s="244">
        <f t="shared" ca="1" si="38"/>
        <v>99</v>
      </c>
      <c r="RG34" s="244">
        <f t="shared" ca="1" si="39"/>
        <v>99</v>
      </c>
      <c r="RH34" s="244">
        <f t="shared" ca="1" si="40"/>
        <v>99</v>
      </c>
      <c r="RI34" s="244">
        <f t="shared" ca="1" si="41"/>
        <v>99</v>
      </c>
      <c r="RJ34" s="244">
        <f t="shared" ca="1" si="42"/>
        <v>99</v>
      </c>
      <c r="RK34" s="244">
        <f t="shared" ca="1" si="198"/>
        <v>99</v>
      </c>
      <c r="RL34" s="244">
        <f t="shared" ca="1" si="199"/>
        <v>99</v>
      </c>
      <c r="RM34" s="244">
        <f t="shared" ca="1" si="200"/>
        <v>99</v>
      </c>
      <c r="RN34" s="244">
        <f t="shared" ca="1" si="201"/>
        <v>99</v>
      </c>
      <c r="RO34" s="244">
        <f t="shared" ca="1" si="202"/>
        <v>99</v>
      </c>
      <c r="RP34" s="202" t="str">
        <f t="shared" ca="1" si="43"/>
        <v>Zu wenige Noten</v>
      </c>
      <c r="RQ34" s="202" t="str">
        <f t="shared" ca="1" si="203"/>
        <v>Zu wenige Noten</v>
      </c>
      <c r="RR34" s="202" t="str">
        <f t="shared" ca="1" si="203"/>
        <v>Zu wenige Noten</v>
      </c>
      <c r="RS34" s="202" t="str">
        <f t="shared" ca="1" si="204"/>
        <v>Zu wenige Noten</v>
      </c>
      <c r="RT34" s="202" t="str">
        <f t="shared" ca="1" si="204"/>
        <v>Zu wenige Noten</v>
      </c>
      <c r="RU34" s="202" t="str">
        <f t="shared" ca="1" si="205"/>
        <v>Zu wenige Noten</v>
      </c>
      <c r="RV34" s="202" t="str">
        <f t="shared" ca="1" si="206"/>
        <v>Zu wenige Noten</v>
      </c>
      <c r="RW34" s="31"/>
      <c r="RX34" s="56" t="str">
        <f t="shared" ca="1" si="44"/>
        <v>Zu wenige Noten</v>
      </c>
      <c r="RY34" s="31"/>
      <c r="RZ34" s="31" t="str">
        <f t="shared" ca="1" si="45"/>
        <v>Zu wenige Noten</v>
      </c>
      <c r="SA34" s="31" t="str">
        <f t="shared" ca="1" si="46"/>
        <v>Zu wenige Noten</v>
      </c>
      <c r="SB34" s="45" t="str">
        <f t="shared" ca="1" si="47"/>
        <v>Zu wenige Noten</v>
      </c>
      <c r="SC34" s="31" t="str">
        <f t="shared" ca="1" si="207"/>
        <v>Zu wenige Noten</v>
      </c>
      <c r="SD34" s="31" t="str">
        <f t="shared" ca="1" si="208"/>
        <v>Zu wenige Noten</v>
      </c>
      <c r="SE34" s="31" t="str">
        <f t="shared" ca="1" si="48"/>
        <v>Zu wenige Noten</v>
      </c>
      <c r="SF34" s="31" t="str">
        <f t="shared" ca="1" si="209"/>
        <v>Zu wenige Noten</v>
      </c>
      <c r="SG34" s="31" t="str">
        <f t="shared" ca="1" si="48"/>
        <v>Zu wenige Noten</v>
      </c>
      <c r="SH34" s="36">
        <f t="shared" ca="1" si="210"/>
        <v>0</v>
      </c>
      <c r="SI34" s="36">
        <f t="shared" ca="1" si="211"/>
        <v>0</v>
      </c>
      <c r="SJ34" s="36">
        <f t="shared" ca="1" si="212"/>
        <v>0</v>
      </c>
      <c r="SK34" s="31">
        <f t="shared" ca="1" si="213"/>
        <v>99</v>
      </c>
      <c r="SL34" s="31">
        <f t="shared" ca="1" si="214"/>
        <v>99</v>
      </c>
      <c r="SM34" s="36" t="str">
        <f t="shared" ca="1" si="215"/>
        <v>99.0</v>
      </c>
      <c r="SN34" s="31">
        <f t="shared" ca="1" si="216"/>
        <v>99</v>
      </c>
      <c r="SO34" s="36" t="str">
        <f ca="1">IF(NOT(SJ34),INDEX(StdFehler[StdFehler],4),IF(SI34=$SJ$13,$A$3,CONCATENATE(TEXT(SK34,"#.0"),", ",TEXT(SL34,"#.0"),", ",SM34,", ",TEXT(SN34,"#.0"))))</f>
        <v>Zu wenige Noten</v>
      </c>
      <c r="SP34" s="36" t="str">
        <f t="shared" ca="1" si="49"/>
        <v>Zu wenige Noten</v>
      </c>
      <c r="SQ34" s="36" t="str">
        <f t="shared" ca="1" si="49"/>
        <v>Zu wenige Noten</v>
      </c>
      <c r="SR34" s="36" t="str">
        <f t="shared" ca="1" si="49"/>
        <v>Zu wenige Noten</v>
      </c>
      <c r="SS34" s="36" t="str">
        <f t="shared" ca="1" si="49"/>
        <v>Zu wenige Noten</v>
      </c>
      <c r="ST34" s="36" t="str">
        <f t="shared" ca="1" si="217"/>
        <v>Zu wenige Noten</v>
      </c>
      <c r="SU34" s="36"/>
      <c r="SV34" s="214" t="str">
        <f t="shared" si="218"/>
        <v>D</v>
      </c>
      <c r="SW34" s="36"/>
      <c r="SX34" s="214" t="str">
        <f t="shared" si="219"/>
        <v>D</v>
      </c>
      <c r="SY34" s="36"/>
      <c r="SZ34" s="214" t="str">
        <f t="shared" si="220"/>
        <v>D</v>
      </c>
      <c r="TA34" s="36"/>
      <c r="TB34" s="214" t="str">
        <f t="shared" si="221"/>
        <v>D</v>
      </c>
      <c r="TC34" s="31"/>
      <c r="TD34" s="36" t="str">
        <f t="shared" ca="1" si="222"/>
        <v>Zu wenige Noten</v>
      </c>
      <c r="TE34" s="31"/>
      <c r="TF34" s="193" t="str">
        <f ca="1">IF(NOT(SJ34),INDEX(StdFehler[StdFehler],4),IF(SI34=$TF$4,$A$3,ROUND(AVERAGE(RZ34:SC34)/$TF$5,0)*$TF$5))</f>
        <v>Zu wenige Noten</v>
      </c>
      <c r="TH34" s="595" t="str">
        <f>IF(OR($TH$18=Stammdaten!$AX$20,$TH$18=""),Stammdaten!$AX$20,$TH$18)</f>
        <v>Disziplin</v>
      </c>
      <c r="TI34" s="33"/>
      <c r="TJ34" s="33" t="str">
        <f>IF(OR(Geschlecht[[#This Row],[Geschlecht (Skala)]]="",TH34="",TH34=Stammdaten!$AX$20),"",REPLACE(INDEX(StdDisziplinen[TabÜberschriftResultat],TH$3),FIND("XX",INDEX(StdDisziplinen[TabÜberschriftResultat],TH$3),1),2,Geschlecht[[#This Row],[Geschlecht (Skala)]]))</f>
        <v/>
      </c>
      <c r="TK34" s="596"/>
      <c r="TM34" s="37"/>
      <c r="TN34" s="40"/>
      <c r="TO34" s="587">
        <f>IF(TO$16,IF(TP$16=0.5,MROUND(SchwimmenResultat[[#This Row],[Resultat]],TP$16),ROUND(SchwimmenResultat[[#This Row],[Resultat]],TP$16)),ROUNDDOWN(SchwimmenResultat[[#This Row],[Resultat]],TP$16))</f>
        <v>0</v>
      </c>
      <c r="TP34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4" s="153" t="str">
        <f ca="1">IF(TP34="","",IF(OR(SchwimmenResultat[[#This Row],[Resultat]]=Stammdaten!$AX$22,SchwimmenResultat[[#This Row],[Resultat]]=Stammdaten!$AX$19),Stammdaten!$AX$19,IF(ISNA(INDEX(INDIRECT(TP34),MATCH(SchwimmenGerundet[[#This Row],[Rundung]],INDIRECT(TP34),TP$18))),IF(TP$18=-1,LARGE(INDIRECT(TP34),1),SMALL(INDIRECT(TP34),1)),INDEX(INDIRECT(TP34),MATCH(SchwimmenGerundet[[#This Row],[Rundung]],INDIRECT(TP34),TP$18)))))</f>
        <v/>
      </c>
      <c r="TR34" s="33" t="str">
        <f>IF(OR(TP34="",SchwimmenResultat[[#This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4" s="33"/>
      <c r="TT34" s="36" t="str">
        <f ca="1">IF(OR(TR34="",SchwimmenSkalawert[[#This Row],[Skala-Wert]]=Stammdaten!$AX$19),"",INDEX(INDIRECT(TR34),MATCH(SchwimmenSkalawert[[#This Row],[Skala-Wert]],INDIRECT(TP34),0)))</f>
        <v/>
      </c>
      <c r="TU34" s="36"/>
      <c r="TV34" s="190" t="str">
        <f>IF(ZwölfMinLaufHalleResultat[[#This Row],[Resultat]]=0,"",ZwölfMinLaufHalleResultat[[#This Row],[Resultat]])</f>
        <v/>
      </c>
      <c r="TW34" s="190"/>
      <c r="TX34" s="31" t="str">
        <f ca="1">ZwölfMinLaufHalleSkalawert[[#This Row],[Skala-Wert]]</f>
        <v/>
      </c>
      <c r="TZ34" s="31" t="str">
        <f ca="1">ZwölfMinLaufHalleNote[[#This Row],[Note]]</f>
        <v/>
      </c>
      <c r="UA34" s="31"/>
      <c r="UB34" s="190" t="str">
        <f>IF(ZwölfMinLaufimFreienResultat[[#This Row],[Resultat]]=0,"",ZwölfMinLaufimFreienResultat[[#This Row],[Resultat]])</f>
        <v/>
      </c>
      <c r="UC34" s="190"/>
      <c r="UD34" s="192" t="str">
        <f ca="1">ZwölfMinLaufimFreienSkalawert[[#This Row],[Skala-Wert]]</f>
        <v/>
      </c>
      <c r="UF34" s="31" t="str">
        <f ca="1">ZwölfMinLaufimFreienNote[[#This Row],[Note]]</f>
        <v/>
      </c>
      <c r="UG34" s="31"/>
      <c r="UH34" s="597"/>
      <c r="UI34" s="190"/>
      <c r="UJ34" s="587">
        <f>IF(UJ$16,IF(UK$16=0.5,MROUND(BeweglichkeitResultat[[#This Row],[Resultat]],UK$16),ROUND(BeweglichkeitResultat[[#This Row],[Resultat]],UK$16)),ROUNDDOWN(BeweglichkeitResultat[[#This Row],[Resultat]],UK$16))</f>
        <v>0</v>
      </c>
      <c r="UK34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4" s="192" t="str">
        <f ca="1">IF(UK34="","",IF(OR(BeweglichkeitResultat[[#This Row],[Resultat]]=Stammdaten!$AX$22,BeweglichkeitResultat[[#This Row],[Resultat]]=Stammdaten!$AX$19),Stammdaten!$AX$19,IF(ISNA(INDEX(INDIRECT(UK34),MATCH(BeweglichkeitGerundet[[#This Row],[Rundung]],INDIRECT(UK34),UK$18))),IF(UK$18=-1,LARGE(INDIRECT(UK34),1),SMALL(INDIRECT(UK34),1)),INDEX(INDIRECT(UK34),MATCH(BeweglichkeitGerundet[[#This Row],[Rundung]],INDIRECT(UK34),UK$18)))))</f>
        <v/>
      </c>
      <c r="UN34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4" s="36" t="str">
        <f ca="1">IF(OR(UK34="",BeweglichkeitSkalawert[[#This Row],[Skala-Wert]]=Stammdaten!$AX$19),"",INDEX(INDIRECT(UN34),MATCH(BeweglichkeitSkalawert[[#This Row],[Skala-Wert]],INDIRECT(UK34),0)))</f>
        <v/>
      </c>
      <c r="UP34" s="31"/>
      <c r="UQ34" s="597"/>
      <c r="UR34" s="190"/>
      <c r="US34" s="587">
        <f>IF(US$16,IF(UT$16=0.5,MROUND(RumpfkraftResultat[[#This Row],[Resultat]],UT$16),ROUND(RumpfkraftResultat[[#This Row],[Resultat]],UT$16)),ROUNDDOWN(RumpfkraftResultat[[#This Row],[Resultat]],UT$16))</f>
        <v>0</v>
      </c>
      <c r="UT34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4" s="192" t="str">
        <f ca="1">IF(UT34="","",IF(OR(RumpfkraftResultat[[#This Row],[Resultat]]=Stammdaten!$AX$22,RumpfkraftResultat[[#This Row],[Resultat]]=Stammdaten!$AX$19),Stammdaten!$AX$19,IF(ISNA(INDEX(INDIRECT(UT34),MATCH(RumpfkraftGerundet[[#This Row],[Rundung]],INDIRECT(UT34),UT$18))),IF(UT$18=-1,LARGE(INDIRECT(UT34),1),SMALL(INDIRECT(UT34),1)),INDEX(INDIRECT(UT34),MATCH(RumpfkraftGerundet[[#This Row],[Rundung]],INDIRECT(UT34),UT$18)))))</f>
        <v/>
      </c>
      <c r="UW34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4" s="36" t="str">
        <f ca="1">IF(OR(UT34="",RumpfkraftSkalawert[[#This Row],[Skala-Wert]]=Stammdaten!$AX$19),"",INDEX(INDIRECT(UW34),MATCH(RumpfkraftSkalawert[[#This Row],[Skala-Wert]],INDIRECT(UT34),0)))</f>
        <v/>
      </c>
      <c r="UY34" s="31"/>
      <c r="UZ34" s="190" t="str">
        <f>IF(SechzigmLaufResultat[[#This Row],[Resultat]]=0,"",SechzigmLaufResultat[[#This Row],[Resultat]])</f>
        <v/>
      </c>
      <c r="VA34" s="190"/>
      <c r="VB34" s="45" t="str">
        <f ca="1">SechzigmLaufSkalawert[[#This Row],[Skala-Wert]]</f>
        <v/>
      </c>
      <c r="VD34" s="31" t="str">
        <f ca="1">SechzigmLaufNote[[#This Row],[Note]]</f>
        <v/>
      </c>
      <c r="VE34" s="31"/>
      <c r="VF34" s="190" t="str">
        <f>IF(AchtzigmLaufResultat[[#This Row],[Resultat]]=0,"",AchtzigmLaufResultat[[#This Row],[Resultat]])</f>
        <v/>
      </c>
      <c r="VG34" s="190"/>
      <c r="VH34" s="45" t="str">
        <f ca="1">AchtzigmLaufSkalawert[[#This Row],[Skala-Wert]]</f>
        <v/>
      </c>
      <c r="VJ34" s="31" t="str">
        <f ca="1">AchtzigmLaufNote[[#This Row],[Note]]</f>
        <v/>
      </c>
      <c r="VK34" s="31"/>
      <c r="VL34" s="37"/>
      <c r="VM34" s="190"/>
      <c r="VN34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4" s="191" t="str">
        <f>IF(OR(Geschlecht[[#This Row],[Geschlecht (Skala)]]="",VL$16=""),"",MID(Geschlecht[[#This Row],[Geschlecht (Skala)]],1,1)&amp;MID(VL$16,1,1))</f>
        <v/>
      </c>
      <c r="VP34" s="190" t="str">
        <f>IF(OR(VO34="",KonditionsparcoursResultat[[#This Row],[Resultat]]=""),"",REPLACE(INDEX(StdDisziplinen[TabÜberschriftResultat],VL$3),FIND("X",INDEX(StdDisziplinen[TabÜberschriftResultat],VL$3),1),2,VO34))</f>
        <v/>
      </c>
      <c r="VQ34" s="192" t="str">
        <f ca="1">IF(VP34="","",IF(OR(KonditionsparcoursResultat[[#This Row],[Resultat]]=Stammdaten!$AX$22,KonditionsparcoursResultat[[#This Row],[Resultat]]=Stammdaten!$AX$19),Stammdaten!$AX$19,IF(ISNA(INDEX(INDIRECT(VP34),MATCH(KonditionsparcoursGerundet[[#This Row],[Rundung]],INDIRECT(VP34),VP$18))),IF(VP$18=-1,LARGE(INDIRECT(VP34),1),SMALL(INDIRECT(VP34),1)),INDEX(INDIRECT(VP34),MATCH(KonditionsparcoursGerundet[[#This Row],[Rundung]],INDIRECT(VP34),VP$18)))))</f>
        <v/>
      </c>
      <c r="VS34" s="18" t="str">
        <f ca="1">IF(KonditionsparcoursSkalawert[[#This Row],[Skala-Wert]]="","",REPLACE(INDEX(StdDisziplinen[TabÜberschriftNote],VL$3),FIND("X",INDEX(StdDisziplinen[TabÜberschriftNote],VL$3),1),2,VO34))</f>
        <v/>
      </c>
      <c r="VT34" s="31" t="str">
        <f ca="1">IF(OR(VS34="",KonditionsparcoursSkalawert[[#This Row],[Skala-Wert]]=Stammdaten!$AX$19),"",INDEX(INDIRECT(VS34),MATCH(KonditionsparcoursSkalawert[[#This Row],[Skala-Wert]],INDIRECT(VP34),0)))</f>
        <v/>
      </c>
      <c r="VU34" s="22"/>
    </row>
    <row r="35" spans="1:593" x14ac:dyDescent="0.3">
      <c r="A35" s="30">
        <v>17</v>
      </c>
      <c r="B35" s="589"/>
      <c r="C35" s="589"/>
      <c r="E35" s="591"/>
      <c r="G35" s="37"/>
      <c r="H35" s="190"/>
      <c r="I35" s="154">
        <f>IF(I$16,IF(J$16=0.5,MROUND(SechzigmLaufResultat[[#This Row],[Resultat]],J$16),ROUND(SechzigmLaufResultat[[#This Row],[Resultat]],J$16)),ROUNDDOWN(SechzigmLaufResultat[[#This Row],[Resultat]],J$16))</f>
        <v>0</v>
      </c>
      <c r="J35" s="191" t="str">
        <f>IF(OR(Geschlecht[[#This Row],[Geschlecht (Skala)]]="",G$16=""),"",MID(Geschlecht[[#This Row],[Geschlecht (Skala)]],1,1)&amp;MID(G$16,1,1))</f>
        <v/>
      </c>
      <c r="K35" s="190" t="str">
        <f>IF(OR(J35="",SechzigmLaufResultat[[#This Row],[Resultat]]=""),"",REPLACE(INDEX(StdDisziplinen[TabÜberschriftResultat],G$3),FIND("X",INDEX(StdDisziplinen[TabÜberschriftResultat],G$3),1),2,J35))</f>
        <v/>
      </c>
      <c r="L35" s="45" t="str">
        <f ca="1">IF(K35="","",IF(OR(SechzigmLaufResultat[[#This Row],[Resultat]]=Stammdaten!$AX$22,SechzigmLaufResultat[[#This Row],[Resultat]]=Stammdaten!$AX$19),Stammdaten!$AX$19,IF(ISNA(INDEX(INDIRECT(K35),MATCH(SechzigmLaufGerundet[[#This Row],[Rundung]],INDIRECT(K35),K$18))),IF(K$18=-1,LARGE(INDIRECT(K35),1),SMALL(INDIRECT(K35),1)),INDEX(INDIRECT(K35),MATCH(SechzigmLaufGerundet[[#This Row],[Rundung]],INDIRECT(K35),K$18)))))</f>
        <v/>
      </c>
      <c r="N35" s="18" t="str">
        <f ca="1">IF(SechzigmLaufSkalawert[[#This Row],[Skala-Wert]]="","",REPLACE(INDEX(StdDisziplinen[TabÜberschriftNote],G$3),FIND("X",INDEX(StdDisziplinen[TabÜberschriftNote],G$3),1),2,J35))</f>
        <v/>
      </c>
      <c r="O35" s="31" t="str">
        <f ca="1">IF(OR(N35="",SechzigmLaufSkalawert[[#This Row],[Skala-Wert]]=Stammdaten!$AX$19),"",INDEX(INDIRECT(N35),MATCH(SechzigmLaufSkalawert[[#This Row],[Skala-Wert]],INDIRECT(K35),0)))</f>
        <v/>
      </c>
      <c r="P35" s="31"/>
      <c r="Q35" s="37"/>
      <c r="R35" s="190"/>
      <c r="S35" s="154">
        <f>IF(S$16,IF(T$16=0.5,MROUND(AchtzigmLaufResultat[[#This Row],[Resultat]],T$16),ROUND(AchtzigmLaufResultat[[#This Row],[Resultat]],T$16)),ROUNDDOWN(AchtzigmLaufResultat[[#This Row],[Resultat]],T$16))</f>
        <v>0</v>
      </c>
      <c r="T35" s="191" t="str">
        <f>IF(OR(Geschlecht[[#This Row],[Geschlecht (Skala)]]="",Q$16=""),"",MID(Geschlecht[[#This Row],[Geschlecht (Skala)]],1,1)&amp;MID(Q$16,1,1))</f>
        <v/>
      </c>
      <c r="U35" s="190" t="str">
        <f>IF(OR(T35="",AchtzigmLaufResultat[[#This Row],[Resultat]]=""),"",REPLACE(INDEX(StdDisziplinen[TabÜberschriftResultat],Q$3),FIND("X",INDEX(StdDisziplinen[TabÜberschriftResultat],Q$3),1),2,T35))</f>
        <v/>
      </c>
      <c r="V35" s="45" t="str">
        <f ca="1">IF(U35="","",IF(OR(AchtzigmLaufResultat[[#This Row],[Resultat]]=Stammdaten!$AX$22,AchtzigmLaufResultat[[#This Row],[Resultat]]=Stammdaten!$AX$19),Stammdaten!$AX$19,IF(ISNA(INDEX(INDIRECT(U35),MATCH(AchtzigmLaufGerundet[[#This Row],[Rundung]],INDIRECT(U35),U$18))),IF(U$18=-1,LARGE(INDIRECT(U35),1),SMALL(INDIRECT(U35),1)),INDEX(INDIRECT(U35),MATCH(AchtzigmLaufGerundet[[#This Row],[Rundung]],INDIRECT(U35),U$18)))))</f>
        <v/>
      </c>
      <c r="X35" s="18" t="str">
        <f ca="1">IF(AchtzigmLaufSkalawert[[#This Row],[Skala-Wert]]="","",REPLACE(INDEX(StdDisziplinen[TabÜberschriftNote],Q$3),FIND("X",INDEX(StdDisziplinen[TabÜberschriftNote],Q$3),1),2,T35))</f>
        <v/>
      </c>
      <c r="Y35" s="31" t="str">
        <f ca="1">IF(OR(X35="",AchtzigmLaufSkalawert[[#This Row],[Skala-Wert]]=Stammdaten!$AX$19),"",INDEX(INDIRECT(X35),MATCH(AchtzigmLaufSkalawert[[#This Row],[Skala-Wert]],INDIRECT(U35),0)))</f>
        <v/>
      </c>
      <c r="Z35" s="31"/>
      <c r="AA35" s="37"/>
      <c r="AB35" s="190"/>
      <c r="AC35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5" s="191" t="str">
        <f>IF(OR(Geschlecht[[#This Row],[Geschlecht (Skala)]]="",AA$16=""),"",MID(Geschlecht[[#This Row],[Geschlecht (Skala)]],1,1)&amp;MID(AA$16,1,1))</f>
        <v/>
      </c>
      <c r="AE35" s="190" t="str">
        <f>IF(OR(AD35="",ZwölfMinLaufHalleResultat[[#This Row],[Resultat]]=""),"",REPLACE(INDEX(StdDisziplinen[TabÜberschriftResultat],AA$3),FIND("X",INDEX(StdDisziplinen[TabÜberschriftResultat],AA$3),1),2,AD35))</f>
        <v/>
      </c>
      <c r="AF35" s="31" t="str">
        <f ca="1">IF(AE35="","",IF(OR(ZwölfMinLaufHalleResultat[[#This Row],[Resultat]]=Stammdaten!$AX$22,ZwölfMinLaufHalleResultat[[#This Row],[Resultat]]=Stammdaten!$AX$19),Stammdaten!$AX$19,IF(ISNA(INDEX(INDIRECT(AE35),MATCH(ZwölfMinLaufHalleGerundet[[#This Row],[Rundung]],INDIRECT(AE35),AE$18))),IF(AE$18=-1,LARGE(INDIRECT(AE35),1),SMALL(INDIRECT(AE35),1)),INDEX(INDIRECT(AE35),MATCH(ZwölfMinLaufHalleGerundet[[#This Row],[Rundung]],INDIRECT(AE35),AE$18)))))</f>
        <v/>
      </c>
      <c r="AH35" s="18" t="str">
        <f ca="1">IF(ZwölfMinLaufHalleSkalawert[[#This Row],[Skala-Wert]]="","",REPLACE(INDEX(StdDisziplinen[TabÜberschriftNote],AA$3),FIND("X",INDEX(StdDisziplinen[TabÜberschriftNote],AA$3),1),2,AD35))</f>
        <v/>
      </c>
      <c r="AI35" s="31" t="str">
        <f ca="1">IF(OR(AH35="",ZwölfMinLaufHalleSkalawert[[#This Row],[Skala-Wert]]=Stammdaten!$AX$19),"",INDEX(INDIRECT(AH35),MATCH(ZwölfMinLaufHalleSkalawert[[#This Row],[Skala-Wert]],INDIRECT(AE35),0)))</f>
        <v/>
      </c>
      <c r="AJ35" s="31"/>
      <c r="AK35" s="597"/>
      <c r="AL35" s="190"/>
      <c r="AM35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5" s="191" t="str">
        <f>IF(OR(Geschlecht[[#This Row],[Geschlecht (Skala)]]="",AK$16=""),"",MID(Geschlecht[[#This Row],[Geschlecht (Skala)]],1,1)&amp;MID(AK$16,1,1))</f>
        <v/>
      </c>
      <c r="AO35" s="190" t="str">
        <f>IF(OR(AN35="",ZwölfMinLaufimFreienResultat[[#This Row],[Resultat]]=""),"",REPLACE(INDEX(StdDisziplinen[TabÜberschriftResultat],AK$3),FIND("X",INDEX(StdDisziplinen[TabÜberschriftResultat],AK$3),1),2,AN35))</f>
        <v/>
      </c>
      <c r="AP35" s="192" t="str">
        <f ca="1">IF(AO35="","",IF(OR(ZwölfMinLaufimFreienResultat[[#This Row],[Resultat]]=Stammdaten!$AX$22,ZwölfMinLaufimFreienResultat[[#This Row],[Resultat]]=Stammdaten!$AX$19),Stammdaten!$AX$19,IF(ISNA(INDEX(INDIRECT(AO35),MATCH(ZwölfMinLaufimFreienGerundet[[#This Row],[Rundung]],INDIRECT(AO35),AO$18))),IF(AO$18=-1,LARGE(INDIRECT(AO35),1),SMALL(INDIRECT(AO35),1)),INDEX(INDIRECT(AO35),MATCH(ZwölfMinLaufimFreienGerundet[[#This Row],[Rundung]],INDIRECT(AO35),AO$18)))))</f>
        <v/>
      </c>
      <c r="AR35" s="18" t="str">
        <f ca="1">IF(ZwölfMinLaufimFreienSkalawert[[#This Row],[Skala-Wert]]="","",REPLACE(INDEX(StdDisziplinen[TabÜberschriftNote],AK$3),FIND("X",INDEX(StdDisziplinen[TabÜberschriftNote],AK$3),1),2,AN35))</f>
        <v/>
      </c>
      <c r="AS35" s="31" t="str">
        <f ca="1">IF(OR(AR35="",ZwölfMinLaufimFreienSkalawert[[#This Row],[Skala-Wert]]=Stammdaten!$AX$19),"",INDEX(INDIRECT(AR35),MATCH(ZwölfMinLaufimFreienSkalawert[[#This Row],[Skala-Wert]],INDIRECT(AO35),0)))</f>
        <v/>
      </c>
      <c r="AT35" s="31"/>
      <c r="AU35" s="597"/>
      <c r="AV35" s="190"/>
      <c r="AW35" s="587">
        <f>IF(AW$16,IF(AX$16=0.5,MROUND(HochsprungResultat[[#This Row],[Resultat]],AX$16),ROUND(HochsprungResultat[[#This Row],[Resultat]],AX$16)),ROUNDDOWN(HochsprungResultat[[#This Row],[Resultat]],AX$16))</f>
        <v>0</v>
      </c>
      <c r="AX35" s="191" t="str">
        <f>IF(OR(Geschlecht[[#This Row],[Geschlecht (Skala)]]="",AU$16=""),"",MID(Geschlecht[[#This Row],[Geschlecht (Skala)]],1,1)&amp;MID(AU$16,1,1))</f>
        <v/>
      </c>
      <c r="AY35" s="190" t="str">
        <f>IF(OR(AX35="",HochsprungResultat[[#This Row],[Resultat]]=""),"",REPLACE(INDEX(StdDisziplinen[TabÜberschriftResultat],AU$3),FIND("X",INDEX(StdDisziplinen[TabÜberschriftResultat],AU$3),1),2,AX35))</f>
        <v/>
      </c>
      <c r="AZ35" s="192" t="str">
        <f ca="1">IF(AY35="","",IF(OR(HochsprungResultat[[#This Row],[Resultat]]=Stammdaten!$AX$22,HochsprungResultat[[#This Row],[Resultat]]=Stammdaten!$AX$19),Stammdaten!$AX$19,IF(ISNA(INDEX(INDIRECT(AY35),MATCH(HochsprungGerundet[[#This Row],[Rundung]],INDIRECT(AY35),AY$18))),IF(AY$18=-1,LARGE(INDIRECT(AY35),1),SMALL(INDIRECT(AY35),1)),INDEX(INDIRECT(AY35),MATCH(HochsprungGerundet[[#This Row],[Rundung]],INDIRECT(AY35),AY$18)))))</f>
        <v/>
      </c>
      <c r="BB35" s="18" t="str">
        <f ca="1">IF(HochsprungSkalawert[[#This Row],[Skala-Wert]]="","",REPLACE(INDEX(StdDisziplinen[TabÜberschriftNote],AU$3),FIND("X",INDEX(StdDisziplinen[TabÜberschriftNote],AU$3),1),2,AX35))</f>
        <v/>
      </c>
      <c r="BC35" s="31" t="str">
        <f ca="1">IF(OR(BB35="",HochsprungSkalawert[[#This Row],[Skala-Wert]]=Stammdaten!$AX$19),"",INDEX(INDIRECT(BB35),MATCH(HochsprungSkalawert[[#This Row],[Skala-Wert]],INDIRECT(AY35),0)))</f>
        <v/>
      </c>
      <c r="BD35" s="31"/>
      <c r="BE35" s="597"/>
      <c r="BF35" s="190"/>
      <c r="BG35" s="587">
        <f>IF(BG$16,IF(BH$16=0.5,MROUND(WeitsprungResultat[[#This Row],[Resultat]],BH$16),ROUND(WeitsprungResultat[[#This Row],[Resultat]],BH$16)),ROUNDDOWN(WeitsprungResultat[[#This Row],[Resultat]],BH$16))</f>
        <v>0</v>
      </c>
      <c r="BH35" s="191" t="str">
        <f>IF(OR(Geschlecht[[#This Row],[Geschlecht (Skala)]]="",BE$16=""),"",MID(Geschlecht[[#This Row],[Geschlecht (Skala)]],1,1)&amp;MID(BE$16,1,1))</f>
        <v/>
      </c>
      <c r="BI35" s="190" t="str">
        <f>IF(OR(BH35="",WeitsprungResultat[[#This Row],[Resultat]]=""),"",REPLACE(INDEX(StdDisziplinen[TabÜberschriftResultat],BE$3),FIND("X",INDEX(StdDisziplinen[TabÜberschriftResultat],BE$3),1),2,BH35))</f>
        <v/>
      </c>
      <c r="BJ35" s="192" t="str">
        <f ca="1">IF(BI35="","",IF(OR(WeitsprungResultat[[#This Row],[Resultat]]=Stammdaten!$AX$22,WeitsprungResultat[[#This Row],[Resultat]]=Stammdaten!$AX$19),Stammdaten!$AX$19,IF(ISNA(INDEX(INDIRECT(BI35),MATCH(WeitsprungGerundet[[#This Row],[Rundung]],INDIRECT(BI35),BI$18))),IF(BI$18=-1,LARGE(INDIRECT(BI35),1),SMALL(INDIRECT(BI35),1)),INDEX(INDIRECT(BI35),MATCH(WeitsprungGerundet[[#This Row],[Rundung]],INDIRECT(BI35),BI$18)))))</f>
        <v/>
      </c>
      <c r="BL35" s="18" t="str">
        <f ca="1">IF(WeitsprungSkalawert[[#This Row],[Skala-Wert]]="","",REPLACE(INDEX(StdDisziplinen[TabÜberschriftNote],BE$3),FIND("X",INDEX(StdDisziplinen[TabÜberschriftNote],BE$3),1),2,BH35))</f>
        <v/>
      </c>
      <c r="BM35" s="31" t="str">
        <f ca="1">IF(OR(BL35="",WeitsprungSkalawert[[#This Row],[Skala-Wert]]=Stammdaten!$AX$19),"",INDEX(INDIRECT(BL35),MATCH(WeitsprungSkalawert[[#This Row],[Skala-Wert]],INDIRECT(BI35),0)))</f>
        <v/>
      </c>
      <c r="BN35" s="31"/>
      <c r="BO35" s="37"/>
      <c r="BP35" s="190"/>
      <c r="BQ35" s="154">
        <f>IF(BQ$16,IF(BR$16=0.5,MROUND(BallwurfResultat[[#This Row],[Resultat]],BR$16),ROUND(BallwurfResultat[[#This Row],[Resultat]],BR$16)),ROUNDDOWN(BallwurfResultat[[#This Row],[Resultat]],BR$16))</f>
        <v>0</v>
      </c>
      <c r="BR35" s="191" t="str">
        <f>IF(OR(Geschlecht[[#This Row],[Geschlecht (Skala)]]="",BO$16=""),"",MID(Geschlecht[[#This Row],[Geschlecht (Skala)]],1,1)&amp;MID(BO$16,1,1))</f>
        <v/>
      </c>
      <c r="BS35" s="190" t="str">
        <f>IF(OR(BR35="",BallwurfResultat[[#This Row],[Resultat]]=""),"",REPLACE(INDEX(StdDisziplinen[TabÜberschriftResultat],BO$3),FIND("X",INDEX(StdDisziplinen[TabÜberschriftResultat],BO$3),1),2,BR35))</f>
        <v/>
      </c>
      <c r="BT35" s="45" t="str">
        <f ca="1">IF(BS35="","",IF(OR(BallwurfResultat[[#This Row],[Resultat]]=Stammdaten!$AX$22,BallwurfResultat[[#This Row],[Resultat]]=Stammdaten!$AX$19),Stammdaten!$AX$19,IF(ISNA(INDEX(INDIRECT(BS35),MATCH(BallwurfGerundet[[#This Row],[Rundung]],INDIRECT(BS35),BS$18))),IF(BS$18=-1,LARGE(INDIRECT(BS35),1),SMALL(INDIRECT(BS35),1)),INDEX(INDIRECT(BS35),MATCH(BallwurfGerundet[[#This Row],[Rundung]],INDIRECT(BS35),BS$18)))))</f>
        <v/>
      </c>
      <c r="BV35" s="18" t="str">
        <f ca="1">IF(BallwurfSkalawert[[#This Row],[Skala-Wert]]="","",REPLACE(INDEX(StdDisziplinen[TabÜberschriftNote],BO$3),FIND("X",INDEX(StdDisziplinen[TabÜberschriftNote],BO$3),1),2,BR35))</f>
        <v/>
      </c>
      <c r="BW35" s="31" t="str">
        <f ca="1">IF(OR(BV35="",BallwurfSkalawert[[#This Row],[Skala-Wert]]=Stammdaten!$AX$19),"",INDEX(INDIRECT(BV35),MATCH(BallwurfSkalawert[[#This Row],[Skala-Wert]],INDIRECT(BS35),0)))</f>
        <v/>
      </c>
      <c r="BX35" s="31"/>
      <c r="BY35" s="598"/>
      <c r="BZ35" s="190"/>
      <c r="CA35" s="154">
        <f>IF(CA$16,IF(CB$16=0.5,MROUND(KugelstossenResultat[[#This Row],[Resultat]],CB$16),ROUND(KugelstossenResultat[[#This Row],[Resultat]],CB$16)),ROUNDDOWN(KugelstossenResultat[[#This Row],[Resultat]],CB$16))</f>
        <v>0</v>
      </c>
      <c r="CB35" s="191" t="str">
        <f>IF(OR(Geschlecht[[#This Row],[Geschlecht (Skala)]]="",BY$16=""),"",MID(Geschlecht[[#This Row],[Geschlecht (Skala)]],1,1)&amp;MID(BY$16,1,1))</f>
        <v/>
      </c>
      <c r="CC35" s="190" t="str">
        <f>IF(OR(CB35="",KugelstossenResultat[[#This Row],[Resultat]]=""),"",REPLACE(INDEX(StdDisziplinen[TabÜberschriftResultat],BY$3),FIND("X",INDEX(StdDisziplinen[TabÜberschriftResultat],BY$3),1),2,CB35))</f>
        <v/>
      </c>
      <c r="CD35" s="45" t="str">
        <f ca="1">IF(CC35="","",IF(OR(KugelstossenResultat[[#This Row],[Resultat]]=Stammdaten!$AX$22,KugelstossenResultat[[#This Row],[Resultat]]=Stammdaten!$AX$19),Stammdaten!$AX$19,IF(ISNA(INDEX(INDIRECT(CC35),MATCH(KugelstossenGerundet[[#This Row],[Rundung]],INDIRECT(CC35),CC$18))),IF(CC$18=-1,LARGE(INDIRECT(CC35),1),SMALL(INDIRECT(CC35),1)),INDEX(INDIRECT(CC35),MATCH(KugelstossenGerundet[[#This Row],[Rundung]],INDIRECT(CC35),CC$18)))))</f>
        <v/>
      </c>
      <c r="CF35" s="18" t="str">
        <f ca="1">IF(KugelstossenSkalawert[[#This Row],[Skala-Wert]]="","",REPLACE(INDEX(StdDisziplinen[TabÜberschriftNote],BY$3),FIND("X",INDEX(StdDisziplinen[TabÜberschriftNote],BY$3),1),2,CB35))</f>
        <v/>
      </c>
      <c r="CG35" s="31" t="str">
        <f ca="1">IF(OR(CF35="",KugelstossenSkalawert[[#This Row],[Skala-Wert]]=Stammdaten!$AX$19),"",INDEX(INDIRECT(CF35),MATCH(KugelstossenSkalawert[[#This Row],[Skala-Wert]],INDIRECT(CC35),0)))</f>
        <v/>
      </c>
      <c r="CH35" s="31"/>
      <c r="CI35" s="37"/>
      <c r="CJ35" s="190"/>
      <c r="CK35" s="154">
        <f>IF(CK$16,IF(CL$16=0.5,MROUND(SpeerwurfResultat[[#This Row],[Resultat]],CL$16),ROUND(SpeerwurfResultat[[#This Row],[Resultat]],CL$16)),ROUNDDOWN(SpeerwurfResultat[[#This Row],[Resultat]],CL$16))</f>
        <v>0</v>
      </c>
      <c r="CL35" s="191" t="str">
        <f>IF(OR(Geschlecht[[#This Row],[Geschlecht (Skala)]]="",CI$16=""),"",MID(Geschlecht[[#This Row],[Geschlecht (Skala)]],1,1)&amp;MID(CI$16,1,1))</f>
        <v/>
      </c>
      <c r="CM35" s="190" t="str">
        <f>IF(OR(CL35="",SpeerwurfResultat[[#This Row],[Resultat]]=""),"",REPLACE(INDEX(StdDisziplinen[TabÜberschriftResultat],CI$3),FIND("X",INDEX(StdDisziplinen[TabÜberschriftResultat],CI$3),1),2,CL35))</f>
        <v/>
      </c>
      <c r="CN35" s="45" t="str">
        <f ca="1">IF(CM35="","",IF(OR(SpeerwurfResultat[[#This Row],[Resultat]]=Stammdaten!$AX$22,SpeerwurfResultat[[#This Row],[Resultat]]=Stammdaten!$AX$19),Stammdaten!$AX$19,IF(ISNA(INDEX(INDIRECT(CM35),MATCH(SpeerwurfGerundet[[#This Row],[Rundung]],INDIRECT(CM35),CM$18))),IF(CM$18=-1,LARGE(INDIRECT(CM35),1),SMALL(INDIRECT(CM35),1)),INDEX(INDIRECT(CM35),MATCH(SpeerwurfGerundet[[#This Row],[Rundung]],INDIRECT(CM35),CM$18)))))</f>
        <v/>
      </c>
      <c r="CP35" s="18" t="str">
        <f ca="1">IF(SpeerwurfSkalawert[[#This Row],[Skala-Wert]]="","",REPLACE(INDEX(StdDisziplinen[TabÜberschriftNote],CI$3),FIND("X",INDEX(StdDisziplinen[TabÜberschriftNote],CI$3),1),2,CL35))</f>
        <v/>
      </c>
      <c r="CQ35" s="31" t="str">
        <f ca="1">IF(OR(CP35="",SpeerwurfSkalawert[[#This Row],[Skala-Wert]]=Stammdaten!$AX$19),"",INDEX(INDIRECT(CP35),MATCH(SpeerwurfSkalawert[[#This Row],[Skala-Wert]],INDIRECT(CM35),0)))</f>
        <v/>
      </c>
      <c r="CR35" s="31"/>
      <c r="CS35" s="31" t="str">
        <f t="shared" ca="1" si="50"/>
        <v/>
      </c>
      <c r="CT35" s="31" t="str">
        <f t="shared" ca="1" si="50"/>
        <v/>
      </c>
      <c r="CU35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Row],[Skala-Wert]])&gt;0,MAX(CS35:CT35),99))</f>
        <v>Keine Note</v>
      </c>
      <c r="CV35" s="202" t="str">
        <f t="shared" ca="1" si="51"/>
        <v/>
      </c>
      <c r="CW35" s="202" t="str">
        <f ca="1">IF(CV35=$A$2,CS$10&amp;Stammdaten!$AX$25,IF(CU35=INDEX(StdFehler[],3),CS$10&amp;Stammdaten!$AX$27,INDEX(INDIRECT($B$4),MATCH(CV35,INDIRECT($B$5),0))))</f>
        <v>Sprintdisziplinen nicht durchgeführt</v>
      </c>
      <c r="CX35" s="202" t="str">
        <f ca="1">IFERROR(INDEX(INDIRECT(CX$12),MATCH(CV35,StdDisziplinen[ID],0)),"")</f>
        <v/>
      </c>
      <c r="CY35" s="202" t="e">
        <f t="shared" ca="1" si="52"/>
        <v>#N/A</v>
      </c>
      <c r="CZ35" s="202" t="e">
        <f t="shared" ca="1" si="53"/>
        <v>#N/A</v>
      </c>
      <c r="DA35" s="98" t="str">
        <f t="shared" ca="1" si="223"/>
        <v/>
      </c>
      <c r="DB35" s="202" t="e">
        <f t="shared" ca="1" si="54"/>
        <v>#N/A</v>
      </c>
      <c r="DC35" s="202" t="str">
        <f t="shared" ca="1" si="55"/>
        <v/>
      </c>
      <c r="DD35" s="31" t="str">
        <f t="shared" ca="1" si="56"/>
        <v/>
      </c>
      <c r="DE35" s="31" t="str">
        <f t="shared" ca="1" si="56"/>
        <v/>
      </c>
      <c r="DF35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Row],[Skala-Wert]])&gt;0,MAX(DD35:DE35),99))</f>
        <v>Keine Note</v>
      </c>
      <c r="DG35" s="202" t="str">
        <f t="shared" ca="1" si="57"/>
        <v/>
      </c>
      <c r="DH35" s="202" t="str">
        <f ca="1">IF(DG35=$A$2,DD$10&amp;Stammdaten!$AX$25,IF(DF35=INDEX(StdFehler[],3),DD$10&amp;Stammdaten!$AX$27,INDEX(INDIRECT($B$4),MATCH(DG35,INDIRECT($B$5),0))))</f>
        <v>Ausdauerdisziplinen nicht durchgeführt</v>
      </c>
      <c r="DI35" s="202" t="str">
        <f ca="1">IFERROR(INDEX(INDIRECT(DI$12),MATCH(DG35,StdDisziplinen[ID],0)),"")</f>
        <v/>
      </c>
      <c r="DJ35" s="202" t="e">
        <f t="shared" ca="1" si="58"/>
        <v>#N/A</v>
      </c>
      <c r="DK35" s="202" t="e">
        <f t="shared" ca="1" si="59"/>
        <v>#N/A</v>
      </c>
      <c r="DL35" s="96" t="str">
        <f t="shared" ca="1" si="60"/>
        <v/>
      </c>
      <c r="DM35" s="202" t="e">
        <f t="shared" ca="1" si="61"/>
        <v>#N/A</v>
      </c>
      <c r="DN35" s="202" t="str">
        <f t="shared" ca="1" si="62"/>
        <v/>
      </c>
      <c r="DO35" s="31" t="str">
        <f t="shared" ca="1" si="63"/>
        <v/>
      </c>
      <c r="DP35" s="31" t="str">
        <f t="shared" ca="1" si="63"/>
        <v/>
      </c>
      <c r="DQ35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Row],[Skala-Wert]])&gt;0,MAX(DO35:DP35),99))</f>
        <v>Keine Note</v>
      </c>
      <c r="DR35" s="202" t="str">
        <f t="shared" ca="1" si="64"/>
        <v/>
      </c>
      <c r="DS35" s="202" t="str">
        <f ca="1">IF(DR35=$A$2,DO$10&amp;Stammdaten!$AX$25,IF(DQ35=INDEX(StdFehler[],3),DO$10&amp;Stammdaten!$AX$27,INDEX(INDIRECT($B$4),MATCH(DR35,INDIRECT($B$5),0))))</f>
        <v>Sprungdisziplinen nicht durchgeführt</v>
      </c>
      <c r="DT35" s="202" t="str">
        <f ca="1">IFERROR(INDEX(INDIRECT(DT$12),MATCH(DR35,StdDisziplinen[ID],0)),"")</f>
        <v/>
      </c>
      <c r="DU35" s="202" t="e">
        <f t="shared" ca="1" si="65"/>
        <v>#N/A</v>
      </c>
      <c r="DV35" s="202" t="e">
        <f t="shared" ca="1" si="66"/>
        <v>#N/A</v>
      </c>
      <c r="DW35" s="202" t="str">
        <f t="shared" ca="1" si="67"/>
        <v/>
      </c>
      <c r="DX35" s="202" t="e">
        <f t="shared" ca="1" si="68"/>
        <v>#N/A</v>
      </c>
      <c r="DY35" s="202" t="str">
        <f t="shared" ca="1" si="69"/>
        <v/>
      </c>
      <c r="DZ35" s="31" t="str">
        <f ca="1">IF(BallwurfSkalawert[[#This Row],[Skala-Wert]]=$A$3,$A$2,IF(ISNUMBER(BallwurfSkalawert[[#This Row],[Skala-Wert]]),BallwurfNote[[#This Row],[Note]],"!"))</f>
        <v>!</v>
      </c>
      <c r="EA35" s="31" t="str">
        <f ca="1">IF(KugelstossenSkalawert[[#This Row],[Skala-Wert]]=$A$3,$A$2,IF(ISNUMBER(KugelstossenSkalawert[[#This Row],[Skala-Wert]]),KugelstossenNote[[#This Row],[Note]],"!"))</f>
        <v>!</v>
      </c>
      <c r="EB35" s="31" t="str">
        <f ca="1">IF(SpeerwurfSkalawert[[#This Row],[Skala-Wert]]=$A$3,$A$2,IF(ISNUMBER(SpeerwurfSkalawert[[#This Row],[Skala-Wert]]),SpeerwurfNote[[#This Row],[Note]],"!"))</f>
        <v>!</v>
      </c>
      <c r="EC35" s="95" t="str">
        <f ca="1">IF(ED35&gt;0,MAX(DZ35:EB35),IF(EE35&gt;0,99,INDEX(StdFehler[StdFehler],3)))</f>
        <v>Keine Note</v>
      </c>
      <c r="ED35" s="202">
        <f t="shared" ca="1" si="70"/>
        <v>0</v>
      </c>
      <c r="EE35" s="202">
        <f t="shared" ca="1" si="71"/>
        <v>0</v>
      </c>
      <c r="EF35" s="202" t="str">
        <f t="shared" ca="1" si="72"/>
        <v/>
      </c>
      <c r="EG35" s="202" t="str">
        <f ca="1">IF(EF35=$A$2,DZ$10&amp;Stammdaten!$AX$25,IF(EC35=INDEX(StdFehler[],3),DZ$10&amp;Stammdaten!$AX$27,INDEX(INDIRECT($B$4),MATCH(EF35,INDIRECT($B$5),0))))</f>
        <v>Wurfdisziplinen nicht durchgeführt</v>
      </c>
      <c r="EH35" s="202" t="str">
        <f ca="1">IFERROR(INDEX(INDIRECT(EH$12),MATCH(EF35,StdDisziplinen[ID],0)),"")</f>
        <v/>
      </c>
      <c r="EI35" s="202" t="e">
        <f t="shared" ca="1" si="73"/>
        <v>#N/A</v>
      </c>
      <c r="EJ35" s="202" t="e">
        <f t="shared" ca="1" si="74"/>
        <v>#N/A</v>
      </c>
      <c r="EK35" s="98" t="str">
        <f t="shared" ca="1" si="75"/>
        <v/>
      </c>
      <c r="EL35" s="202" t="e">
        <f t="shared" ca="1" si="76"/>
        <v>#N/A</v>
      </c>
      <c r="EM35" s="202" t="str">
        <f t="shared" ca="1" si="77"/>
        <v/>
      </c>
      <c r="EN35" s="200">
        <f t="shared" ca="1" si="1"/>
        <v>0</v>
      </c>
      <c r="EO35" s="202">
        <f t="shared" ca="1" si="78"/>
        <v>0</v>
      </c>
      <c r="EP35" s="96">
        <f t="shared" ca="1" si="2"/>
        <v>0</v>
      </c>
      <c r="EQ35" s="96">
        <f t="shared" ca="1" si="3"/>
        <v>0</v>
      </c>
      <c r="ER35" s="96">
        <f t="shared" ca="1" si="4"/>
        <v>0</v>
      </c>
      <c r="ES35" s="96">
        <f t="shared" ca="1" si="5"/>
        <v>0</v>
      </c>
      <c r="ET35" s="202">
        <f t="shared" ca="1" si="79"/>
        <v>0</v>
      </c>
      <c r="EU35" s="202" t="str">
        <f ca="1">IF($EO35=$FA$4,Stammdaten!$AX$19,IF(COUNTIF($EP35:$ES35,0)&lt;&gt;0,INDEX(StdFehler[StdFehler],4),ROUND(SUM($ET35/$EN35)/$FC$4,0)*$FC$4))</f>
        <v>Zu wenige Noten</v>
      </c>
      <c r="EV35" s="202" t="str">
        <f t="shared" ca="1" si="6"/>
        <v>Zu wenige Noten</v>
      </c>
      <c r="EW35" s="202" t="str">
        <f t="shared" ca="1" si="80"/>
        <v>Zu wenige Noten</v>
      </c>
      <c r="EX35" s="202" t="str">
        <f t="shared" ca="1" si="80"/>
        <v>Zu wenige Noten</v>
      </c>
      <c r="EY35" s="202" t="str">
        <f t="shared" ca="1" si="80"/>
        <v>Zu wenige Noten</v>
      </c>
      <c r="EZ35" s="202" t="str">
        <f t="shared" ca="1" si="81"/>
        <v>Zu wenige Noten</v>
      </c>
      <c r="FA35" s="202" t="str">
        <f t="shared" ca="1" si="82"/>
        <v>Zu wenige Noten</v>
      </c>
      <c r="FB35" s="31"/>
      <c r="FC35" s="56" t="str">
        <f t="shared" ca="1" si="83"/>
        <v>Zu wenige Noten</v>
      </c>
      <c r="FD35" s="31"/>
      <c r="FE35" s="597"/>
      <c r="FF35" s="190"/>
      <c r="FJ35" s="31"/>
      <c r="FK35" s="597"/>
      <c r="FL35" s="190"/>
      <c r="FP35" s="31"/>
      <c r="FQ35" s="597"/>
      <c r="FR35" s="190"/>
      <c r="FV35" s="31"/>
      <c r="FW35" s="597"/>
      <c r="FX35" s="190"/>
      <c r="GB35" s="31"/>
      <c r="GC35" s="597"/>
      <c r="GD35" s="190"/>
      <c r="GF35" s="154"/>
      <c r="GH35" s="31"/>
      <c r="GI35" s="597"/>
      <c r="GJ35" s="190"/>
      <c r="GN35" s="45"/>
      <c r="GO35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5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5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5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5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5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5" s="202">
        <f t="shared" si="7"/>
        <v>0</v>
      </c>
      <c r="GV35" s="202">
        <f t="shared" si="8"/>
        <v>0</v>
      </c>
      <c r="GW35" s="202">
        <f t="shared" si="84"/>
        <v>0</v>
      </c>
      <c r="GX35" s="200" t="str">
        <f t="shared" si="85"/>
        <v>!</v>
      </c>
      <c r="GY35" s="200" t="str">
        <f t="shared" si="9"/>
        <v>!</v>
      </c>
      <c r="GZ35" s="200" t="str">
        <f t="shared" si="10"/>
        <v>!</v>
      </c>
      <c r="HA35" s="244" t="str">
        <f t="shared" si="86"/>
        <v>nd</v>
      </c>
      <c r="HB35" s="244" t="str">
        <f t="shared" si="87"/>
        <v>nd</v>
      </c>
      <c r="HC35" s="244" t="str">
        <f t="shared" si="88"/>
        <v>nd</v>
      </c>
      <c r="HD35" s="244" t="str">
        <f t="shared" si="89"/>
        <v>nd</v>
      </c>
      <c r="HE35" s="244" t="str">
        <f t="shared" si="90"/>
        <v>nd</v>
      </c>
      <c r="HF35" s="244" t="str">
        <f t="shared" si="91"/>
        <v>nd</v>
      </c>
      <c r="HG35" s="202" t="b">
        <f t="shared" si="92"/>
        <v>0</v>
      </c>
      <c r="HH35" s="202">
        <f t="shared" si="93"/>
        <v>1</v>
      </c>
      <c r="HI35" s="202">
        <f t="shared" si="94"/>
        <v>0</v>
      </c>
      <c r="HJ35" s="200" t="str">
        <f t="shared" si="95"/>
        <v/>
      </c>
      <c r="HK35" s="200" t="str">
        <f t="shared" si="96"/>
        <v/>
      </c>
      <c r="HL35" s="200">
        <f t="shared" si="97"/>
        <v>0</v>
      </c>
      <c r="HM35" s="202" t="str">
        <f t="shared" si="98"/>
        <v/>
      </c>
      <c r="HN35" s="200" t="str">
        <f t="shared" si="99"/>
        <v/>
      </c>
      <c r="HO35" s="200" t="str">
        <f t="shared" si="100"/>
        <v/>
      </c>
      <c r="HP35" s="200" t="str">
        <f t="shared" si="101"/>
        <v/>
      </c>
      <c r="HQ35" s="242" t="str">
        <f t="shared" si="102"/>
        <v/>
      </c>
      <c r="HR35" s="242" t="str">
        <f t="shared" si="103"/>
        <v/>
      </c>
      <c r="HS35" s="242" t="str">
        <f t="shared" si="104"/>
        <v/>
      </c>
      <c r="HT35" s="242" t="str">
        <f t="shared" ca="1" si="105"/>
        <v>Erstes Gerät</v>
      </c>
      <c r="HU35" s="242" t="str">
        <f ca="1">IF(HT35=$HS$12,Stammdaten!$AY$27,IF(HW35=$A$2,TRIM(Stammdaten!$AX$25),""))</f>
        <v>nicht durchgeführt</v>
      </c>
      <c r="HV35" s="242" t="str">
        <f t="shared" ca="1" si="106"/>
        <v/>
      </c>
      <c r="HW35" s="277" t="str">
        <f t="shared" si="11"/>
        <v/>
      </c>
      <c r="HX35" s="202" t="str">
        <f t="shared" si="107"/>
        <v/>
      </c>
      <c r="HY35" s="202" t="str">
        <f t="shared" ca="1" si="108"/>
        <v/>
      </c>
      <c r="HZ35" s="202" t="str">
        <f t="shared" ca="1" si="109"/>
        <v>StdDisziplinen[MaxTextSt]</v>
      </c>
      <c r="IA35" s="202" t="str">
        <f t="shared" ca="1" si="12"/>
        <v/>
      </c>
      <c r="IB35" s="202" t="b">
        <f t="shared" si="110"/>
        <v>0</v>
      </c>
      <c r="IC35" s="202" t="str">
        <f t="shared" si="111"/>
        <v/>
      </c>
      <c r="ID35" s="202" t="str">
        <f t="shared" si="112"/>
        <v/>
      </c>
      <c r="IE35" s="202" t="str">
        <f t="shared" si="113"/>
        <v/>
      </c>
      <c r="IF35" s="202" t="str">
        <f t="shared" si="114"/>
        <v/>
      </c>
      <c r="IG35" s="242" t="str">
        <f t="shared" si="115"/>
        <v/>
      </c>
      <c r="IH35" s="242" t="str">
        <f t="shared" si="116"/>
        <v/>
      </c>
      <c r="II35" s="242" t="str">
        <f t="shared" ca="1" si="13"/>
        <v>Zweites Gerät</v>
      </c>
      <c r="IJ35" s="242" t="str">
        <f ca="1">IF(II35=$IH$12,Stammdaten!$AY$27,IF(IL35=$A$2,TRIM(Stammdaten!$AX$25),""))</f>
        <v>nicht durchgeführt</v>
      </c>
      <c r="IK35" s="242" t="str">
        <f t="shared" ca="1" si="117"/>
        <v/>
      </c>
      <c r="IL35" s="200" t="str">
        <f t="shared" si="14"/>
        <v/>
      </c>
      <c r="IM35" s="202" t="str">
        <f t="shared" si="118"/>
        <v/>
      </c>
      <c r="IN35" s="202" t="str">
        <f t="shared" ca="1" si="119"/>
        <v/>
      </c>
      <c r="IO35" s="202" t="str">
        <f t="shared" ca="1" si="120"/>
        <v>StdDisziplinen[MaxTextSt]</v>
      </c>
      <c r="IP35" s="202" t="str">
        <f t="shared" ca="1" si="121"/>
        <v/>
      </c>
      <c r="IQ35" s="202" t="b">
        <f t="shared" si="122"/>
        <v>0</v>
      </c>
      <c r="IR35" s="242" t="str">
        <f t="shared" ca="1" si="15"/>
        <v>Drittes Gerät</v>
      </c>
      <c r="IS35" s="242" t="str">
        <f ca="1">IF(IR35=$IR$12,MID(Stammdaten!$AX$27,2,LEN(Stammdaten!$AX$27)),IF(IU35=$A$2,TRIM(Stammdaten!$AX$25),""))</f>
        <v>nicht durchgeführt</v>
      </c>
      <c r="IT35" s="242" t="str">
        <f t="shared" ca="1" si="16"/>
        <v/>
      </c>
      <c r="IU35" s="200" t="str">
        <f t="shared" si="17"/>
        <v/>
      </c>
      <c r="IV35" s="202" t="str">
        <f t="shared" si="123"/>
        <v/>
      </c>
      <c r="IW35" s="202" t="str">
        <f t="shared" ca="1" si="124"/>
        <v/>
      </c>
      <c r="IX35" s="202" t="str">
        <f t="shared" ca="1" si="125"/>
        <v>StdDisziplinen[MaxTextSt]</v>
      </c>
      <c r="IY35" s="202" t="str">
        <f t="shared" ca="1" si="18"/>
        <v/>
      </c>
      <c r="IZ35" s="200" t="str">
        <f>IF(NOT(GW35),INDEX(StdFehler[StdFehler],4),IF(COUNTIF(GX35:GZ35,$A$2)&gt;=$IZ$4,$A$3,SUM(GX35:GZ35)))</f>
        <v>Zu wenige Noten</v>
      </c>
      <c r="JA35" s="31"/>
      <c r="JB35" s="587" t="e">
        <f t="shared" si="19"/>
        <v>#VALUE!</v>
      </c>
      <c r="JC35" s="191" t="str">
        <f>IF(OR(Geschlecht[[#This Row],[Geschlecht (Skala)]]="",IZ35=""),"",MID(Geschlecht[[#This Row],[Geschlecht (Skala)]],1,1)&amp;MID($FE$16,1,1))</f>
        <v/>
      </c>
      <c r="JD35" s="190" t="str">
        <f>IF(OR(JC35="",IZ35=""),"",REPLACE(INDEX(StdDisziplinen[TabÜberschriftResultat],$FE$3),FIND("X",INDEX(StdDisziplinen[TabÜberschriftResultat],$FE$3),1),2,JC35))</f>
        <v/>
      </c>
      <c r="JE35" s="192" t="str">
        <f ca="1">IF(OR(JD35="",IZ35=Stammdaten!$AZ$5),"",IF(OR(IZ35=Stammdaten!$AX$22,IZ35=Stammdaten!$AX$19),Stammdaten!$AX$19,IF(ISNA(INDEX(INDIRECT(JD35),MATCH(GeräteturnenGerundet[[#This Row],[Rundung]],INDIRECT(JD35),$JD$16))),IF($JD$16=-1,LARGE(INDIRECT(JD35),1),SMALL(INDIRECT(JD35),1)),INDEX(INDIRECT(JD35),MATCH(GeräteturnenGerundet[[#This Row],[Rundung]],INDIRECT(JD35),$JD$16)))))</f>
        <v/>
      </c>
      <c r="JG35" s="18" t="str">
        <f ca="1">IF(GeräteturnenSkalawert[[#This Row],[Skala-Wert]]="","",REPLACE(INDEX(StdDisziplinen[TabÜberschriftNote],$FE$3),FIND("X",INDEX(StdDisziplinen[TabÜberschriftNote],$FE$3),1),2,JC35))</f>
        <v/>
      </c>
      <c r="JH35" s="45" t="str">
        <f ca="1">IF(OR(JG35="",GeräteturnenSkalawert[[#This Row],[Skala-Wert]]=Stammdaten!$AX$19),"",INDEX(INDIRECT(JG35),MATCH(GeräteturnenSkalawert[[#This Row],[Skala-Wert]],INDIRECT(JD35),0)))</f>
        <v/>
      </c>
      <c r="JI35" s="31"/>
      <c r="JJ35" s="597"/>
      <c r="JK35" s="190"/>
      <c r="JL35" s="587">
        <f>IF(JL$16,IF(JM$16=0.5,MROUND(ParkourResultat[[#This Row],[Resultat]],JM$16),ROUND(ParkourResultat[[#This Row],[Resultat]],JM$16)),ROUNDDOWN(ParkourResultat[[#This Row],[Resultat]],JM$16))</f>
        <v>0</v>
      </c>
      <c r="JM35" s="191" t="str">
        <f>IF(OR(Geschlecht[[#This Row],[Geschlecht (Skala)]]="",JJ$16=""),"",MID(Geschlecht[[#This Row],[Geschlecht (Skala)]],1,1)&amp;MID(JJ$16,1,1))</f>
        <v/>
      </c>
      <c r="JN35" s="190" t="str">
        <f>IF(OR(JM35="",ParkourResultat[[#This Row],[Resultat]]=""),"",REPLACE(INDEX(StdDisziplinen[TabÜberschriftResultat],JJ$3),FIND("X",INDEX(StdDisziplinen[TabÜberschriftResultat],JJ$3),1),2,JM35))</f>
        <v/>
      </c>
      <c r="JO35" s="192" t="str">
        <f ca="1">IF(JN35="","",IF(OR(ParkourResultat[[#This Row],[Resultat]]=Stammdaten!$AX$22,ParkourResultat[[#This Row],[Resultat]]=Stammdaten!$AX$19),Stammdaten!$AX$19,IF(ISNA(INDEX(INDIRECT(JN35),MATCH(ParkourGerundet[[#This Row],[Rundung]],INDIRECT(JN35),JN$18))),IF(JN$18=-1,LARGE(INDIRECT(JN35),1),SMALL(INDIRECT(JN35),1)),INDEX(INDIRECT(JN35),MATCH(ParkourGerundet[[#This Row],[Rundung]],INDIRECT(JN35),JN$18)))))</f>
        <v/>
      </c>
      <c r="JQ35" s="18" t="str">
        <f ca="1">IF(ParkourSkalawert[[#This Row],[Skala-Wert]]="","",REPLACE(INDEX(StdDisziplinen[TabÜberschriftNote],JJ$3),FIND("X",INDEX(StdDisziplinen[TabÜberschriftNote],JJ$3),1),2,JM35))</f>
        <v/>
      </c>
      <c r="JR35" s="31" t="str">
        <f ca="1">IF(OR(JQ35="",ParkourSkalawert[[#This Row],[Skala-Wert]]=Stammdaten!$AX$19),"",INDEX(INDIRECT(JQ35),MATCH(ParkourSkalawert[[#This Row],[Skala-Wert]],INDIRECT(JN35),0)))</f>
        <v/>
      </c>
      <c r="JS35" s="96"/>
      <c r="JT35" s="47" t="str">
        <f ca="1">IF(OR(ISNUMBER(ParkourSkalawert[[#This Row],[Skala-Wert]]),ParkourSkalawert[[#This Row],[Skala-Wert]]=$A$3),INDEX(INDIRECT($JU$1),MATCH($JJ$3,INDIRECT($B$5),0)),"")</f>
        <v/>
      </c>
      <c r="JU35" s="200" t="str">
        <f t="shared" ca="1" si="126"/>
        <v>StdDisziplinen[MaxTextSt]</v>
      </c>
      <c r="JV35" s="200" t="str">
        <f t="shared" ca="1" si="127"/>
        <v/>
      </c>
      <c r="JW35" s="98">
        <f ca="1">IF(GeräteturnenSkalawert[[#This Row],[Skala-Wert]]=$A$3,$A$2,IF(GeräteturnenNote[[#This Row],[Note]]="",0,GeräteturnenNote[[#This Row],[Note]]))</f>
        <v>0</v>
      </c>
      <c r="JX35" s="96">
        <f ca="1">IF(ParkourSkalawert[[#This Row],[Skala-Wert]]=$A$3,$A$2,IF(ParkourNote[[#This Row],[Note]]="",0,ParkourNote[[#This Row],[Note]]))</f>
        <v>0</v>
      </c>
      <c r="JY35" s="200">
        <f t="shared" ca="1" si="128"/>
        <v>0</v>
      </c>
      <c r="JZ35" s="200">
        <f t="shared" ca="1" si="129"/>
        <v>0</v>
      </c>
      <c r="KA35" s="202">
        <f t="shared" ca="1" si="130"/>
        <v>0</v>
      </c>
      <c r="KB35" s="98" t="str">
        <f t="shared" ca="1" si="20"/>
        <v>!</v>
      </c>
      <c r="KC35" s="98" t="str">
        <f t="shared" ca="1" si="21"/>
        <v>!</v>
      </c>
      <c r="KD35" s="202" t="str">
        <f ca="1">IF(NOT(KA35),INDEX(StdFehler[StdFehler],4),IF(JZ35=$KA$12,$A$3,IF(JW35=$A$2,JX35,IF(JX35=$A$2,JW35,CONCATENATE(JW35,", ",JX35)))))</f>
        <v>Zu wenige Noten</v>
      </c>
      <c r="KE35" s="202" t="str">
        <f t="shared" ca="1" si="131"/>
        <v>Zu wenige Noten</v>
      </c>
      <c r="KF35" s="31"/>
      <c r="KG35" s="56" t="str">
        <f ca="1">IF(NOT(KA35),INDEX(StdFehler[StdFehler],4),IF(JZ35=$KA$12,$A$3,ROUND(AVERAGE(KB35:KC35)/$KG$4,0)*$KG$4))</f>
        <v>Zu wenige Noten</v>
      </c>
      <c r="KH35" s="31"/>
      <c r="KI35" s="599"/>
      <c r="KJ35" s="190"/>
      <c r="KK35" s="586">
        <f>IF(KK$16,IF(KL$16=0.5,MROUND(TanzenResultat[[#This Row],[Resultat]],KL$16),ROUND(TanzenResultat[[#This Row],[Resultat]],KL$16)),ROUNDDOWN(TanzenResultat[[#This Row],[Resultat]],KL$16))</f>
        <v>0</v>
      </c>
      <c r="KL35" s="191" t="str">
        <f>IF(OR(Geschlecht[[#This Row],[Geschlecht (Skala)]]="",KI$16=""),"",MID(Geschlecht[[#This Row],[Geschlecht (Skala)]],1,1)&amp;MID(KI$16,1,1))</f>
        <v/>
      </c>
      <c r="KM35" s="190" t="str">
        <f>IF(OR(KL35="",TanzenResultat[[#This Row],[Resultat]]=""),"",REPLACE(INDEX(StdDisziplinen[TabÜberschriftResultat],KI$3),FIND("X",INDEX(StdDisziplinen[TabÜberschriftResultat],KI$3),1),2,KL35))</f>
        <v/>
      </c>
      <c r="KN35" s="31" t="str">
        <f ca="1">IF(KM35="","",IF(OR(TanzenResultat[[#This Row],[Resultat]]=Stammdaten!$AX$22,TanzenResultat[[#This Row],[Resultat]]=Stammdaten!$AX$19),Stammdaten!$AX$19,IF(ISNA(INDEX(INDIRECT(KM35),MATCH(TanzenGerundet[[#This Row],[Rundung]],INDIRECT(KM35),KM$18))),IF(KM$18=-1,LARGE(INDIRECT(KM35),1),SMALL(INDIRECT(KM35),1)),INDEX(INDIRECT(KM35),MATCH(TanzenGerundet[[#This Row],[Rundung]],INDIRECT(KM35),KM$18)))))</f>
        <v/>
      </c>
      <c r="KP35" s="18" t="str">
        <f ca="1">IF(TanzenSkalawert[[#This Row],[Skala-Wert]]="","",REPLACE(INDEX(StdDisziplinen[TabÜberschriftNote],KI$3),FIND("X",INDEX(StdDisziplinen[TabÜberschriftNote],KI$3),1),2,KL35))</f>
        <v/>
      </c>
      <c r="KQ35" s="45" t="str">
        <f ca="1">IF(OR(KP35="",TanzenSkalawert[[#This Row],[Skala-Wert]]=Stammdaten!$AX$19),"",INDEX(INDIRECT(KP35),MATCH(TanzenSkalawert[[#This Row],[Skala-Wert]],INDIRECT(KM35),0)))</f>
        <v/>
      </c>
      <c r="KR35" s="31"/>
      <c r="KS35" s="597"/>
      <c r="KT35" s="190"/>
      <c r="KU35" s="587">
        <f>IF(KU$16,IF(KV$16=0.5,MROUND(RopeSkippingResultat[[#This Row],[Resultat]],KV$16),ROUND(RopeSkippingResultat[[#This Row],[Resultat]],KV$16)),ROUNDDOWN(RopeSkippingResultat[[#This Row],[Resultat]],KV$16))</f>
        <v>0</v>
      </c>
      <c r="KV35" s="191" t="str">
        <f>IF(OR(Geschlecht[[#This Row],[Geschlecht (Skala)]]="",KS$16=""),"",MID(Geschlecht[[#This Row],[Geschlecht (Skala)]],1,1)&amp;MID(KS$16,1,1))</f>
        <v/>
      </c>
      <c r="KW35" s="190" t="str">
        <f>IF(OR(KV35="",RopeSkippingResultat[[#This Row],[Resultat]]=""),"",REPLACE(INDEX(StdDisziplinen[TabÜberschriftResultat],KS$3),FIND("X",INDEX(StdDisziplinen[TabÜberschriftResultat],KS$3),1),2,KV35))</f>
        <v/>
      </c>
      <c r="KX35" s="192" t="str">
        <f ca="1">IF(KW35="","",IF(OR(RopeSkippingResultat[[#This Row],[Resultat]]=Stammdaten!$AX$22,RopeSkippingResultat[[#This Row],[Resultat]]=Stammdaten!$AX$19),Stammdaten!$AX$19,IF(ISNA(INDEX(INDIRECT(KW35),MATCH(RopeSkippingGerundet[[#This Row],[Rundung]],INDIRECT(KW35),KW$18))),IF(KW$18=-1,LARGE(INDIRECT(KW35),1),SMALL(INDIRECT(KW35),1)),INDEX(INDIRECT(KW35),MATCH(RopeSkippingGerundet[[#This Row],[Rundung]],INDIRECT(KW35),KW$18)))))</f>
        <v/>
      </c>
      <c r="KZ35" s="18" t="str">
        <f ca="1">IF(RopeSkippingSkalawert[[#This Row],[Skala-Wert]]="","",REPLACE(INDEX(StdDisziplinen[TabÜberschriftNote],KS$3),FIND("X",INDEX(StdDisziplinen[TabÜberschriftNote],KS$3),1),2,KV35))</f>
        <v/>
      </c>
      <c r="LA35" s="45" t="str">
        <f ca="1">IF(OR(KZ35="",RopeSkippingSkalawert[[#This Row],[Skala-Wert]]=Stammdaten!$AX$19),"",INDEX(INDIRECT(KZ35),MATCH(RopeSkippingSkalawert[[#This Row],[Skala-Wert]],INDIRECT(KW35),0)))</f>
        <v/>
      </c>
      <c r="LB35" s="31"/>
      <c r="LC35" s="599"/>
      <c r="LD35" s="190"/>
      <c r="LE35" s="586">
        <f>IF(LE$16,IF(LF$16=0.5,MROUND(AerobicResultat[[#This Row],[Resultat]],LF$16),ROUND(AerobicResultat[[#This Row],[Resultat]],LF$16)),ROUNDDOWN(AerobicResultat[[#This Row],[Resultat]],LF$16))</f>
        <v>0</v>
      </c>
      <c r="LF35" s="191" t="str">
        <f>IF(OR(Geschlecht[[#This Row],[Geschlecht (Skala)]]="",LC$16=""),"",MID(Geschlecht[[#This Row],[Geschlecht (Skala)]],1,1)&amp;MID(LC$16,1,1))</f>
        <v/>
      </c>
      <c r="LG35" s="190" t="str">
        <f>IF(OR(LF35="",AerobicResultat[[#This Row],[Resultat]]=""),"",REPLACE(INDEX(StdDisziplinen[TabÜberschriftResultat],LC$3),FIND("X",INDEX(StdDisziplinen[TabÜberschriftResultat],LC$3),1),2,LF35))</f>
        <v/>
      </c>
      <c r="LH35" s="31" t="str">
        <f ca="1">IF(LG35="","",IF(OR(AerobicResultat[[#This Row],[Resultat]]=Stammdaten!$AX$22,AerobicResultat[[#This Row],[Resultat]]=Stammdaten!$AX$19),Stammdaten!$AX$19,IF(ISNA(INDEX(INDIRECT(LG35),MATCH(AerobicGerundet[[#This Row],[Rundung]],INDIRECT(LG35),LG$18))),IF(LG$18=-1,LARGE(INDIRECT(LG35),1),SMALL(INDIRECT(LG35),1)),INDEX(INDIRECT(LG35),MATCH(AerobicGerundet[[#This Row],[Rundung]],INDIRECT(LG35),LG$18)))))</f>
        <v/>
      </c>
      <c r="LJ35" s="18" t="str">
        <f ca="1">IF(AerobicSkalawert[[#This Row],[Skala-Wert]]="","",REPLACE(INDEX(StdDisziplinen[TabÜberschriftNote],LC$3),FIND("X",INDEX(StdDisziplinen[TabÜberschriftNote],LC$3),1),2,LF35))</f>
        <v/>
      </c>
      <c r="LK35" s="45" t="str">
        <f ca="1">IF(OR(LJ35="",AerobicSkalawert[[#This Row],[Skala-Wert]]=Stammdaten!$AX$19),"",INDEX(INDIRECT(LJ35),MATCH(AerobicSkalawert[[#This Row],[Skala-Wert]],INDIRECT(LG35),0)))</f>
        <v/>
      </c>
      <c r="LL35" s="31"/>
      <c r="LM35" s="45" t="str">
        <f ca="1">IF(TanzenSkalawert[[#This Row],[Skala-Wert]]=$A$3,$A$2,IF(ISNUMBER(TanzenSkalawert[[#This Row],[Skala-Wert]]),TanzenNote[[#This Row],[Note]],"!"))</f>
        <v>!</v>
      </c>
      <c r="LN35" s="45" t="str">
        <f ca="1">IF(RopeSkippingSkalawert[[#This Row],[Skala-Wert]]=$A$3,$A$2,IF(ISNUMBER(RopeSkippingSkalawert[[#This Row],[Skala-Wert]]),RopeSkippingNote[[#This Row],[Note]],"!"))</f>
        <v>!</v>
      </c>
      <c r="LO35" s="45" t="str">
        <f ca="1">IF(AerobicSkalawert[[#This Row],[Skala-Wert]]=$A$3,$A$2,IF(ISNUMBER(AerobicSkalawert[[#This Row],[Skala-Wert]]),AerobicNote[[#This Row],[Note]],"!"))</f>
        <v>!</v>
      </c>
      <c r="LP35" s="36">
        <f t="shared" ca="1" si="132"/>
        <v>0</v>
      </c>
      <c r="LQ35" s="36">
        <f t="shared" ca="1" si="133"/>
        <v>0</v>
      </c>
      <c r="LR35" s="244" t="str">
        <f t="shared" ca="1" si="22"/>
        <v>nd</v>
      </c>
      <c r="LS35" s="244" t="str">
        <f t="shared" ca="1" si="23"/>
        <v>nd</v>
      </c>
      <c r="LT35" s="244" t="str">
        <f t="shared" ca="1" si="24"/>
        <v>nd</v>
      </c>
      <c r="LU35" s="242" t="str">
        <f t="shared" ca="1" si="25"/>
        <v/>
      </c>
      <c r="LV35" s="242" t="str">
        <f t="shared" ca="1" si="134"/>
        <v/>
      </c>
      <c r="LW35" s="242" t="str">
        <f t="shared" ca="1" si="135"/>
        <v/>
      </c>
      <c r="LX35" s="242" t="str">
        <f ca="1">IF(LW35="",Stammdaten!$AM$4,INDEX(INDIRECT($B$4),MATCH($LW35,INDIRECT($B$5),0)))</f>
        <v>Darstellen und Tanzen</v>
      </c>
      <c r="LY35" s="242" t="str">
        <f ca="1">IF(LW35="",Stammdaten!$AY$27,IF(ISNUMBER(LU35),LX35,IF(ISNUMBER(LV35),TRIM(Stammdaten!$AX$25),"")))</f>
        <v>nicht durchgeführt</v>
      </c>
      <c r="LZ35" s="242" t="str">
        <f t="shared" ca="1" si="136"/>
        <v>Darstellen und Tanzen</v>
      </c>
      <c r="MA35" s="242" t="str">
        <f t="shared" ca="1" si="137"/>
        <v/>
      </c>
      <c r="MB35" s="242" t="str">
        <f t="shared" ca="1" si="26"/>
        <v>Darstellen und TanzenResultat[@Resultat]</v>
      </c>
      <c r="MC35" s="274" t="str">
        <f t="shared" ca="1" si="138"/>
        <v/>
      </c>
      <c r="MD35" s="242" t="str">
        <f t="shared" ca="1" si="139"/>
        <v>Darstellen und TanzenSkalawert[@[Skala-Wert]]</v>
      </c>
      <c r="ME35" s="274" t="str">
        <f t="shared" ca="1" si="140"/>
        <v/>
      </c>
      <c r="MF35" s="47" t="str">
        <f t="shared" ca="1" si="27"/>
        <v/>
      </c>
      <c r="MG35" s="200" t="str">
        <f t="shared" ca="1" si="141"/>
        <v>StdDisziplinen[MaxTextSt]</v>
      </c>
      <c r="MH35" s="200" t="str">
        <f t="shared" ca="1" si="142"/>
        <v/>
      </c>
      <c r="MI35" s="45"/>
      <c r="MJ35" s="98" t="str">
        <f ca="1">IF(LP35&gt;0,MAX(LM35:LO35),IF(LQ35&gt;0,$A$3,INDEX(StdFehler[StdFehler],4)))</f>
        <v>Zu wenige Noten</v>
      </c>
      <c r="MK35" s="45"/>
      <c r="ML35" s="37"/>
      <c r="MM35" s="190"/>
      <c r="MN35" s="586">
        <f>IF(MN$16,IF(MO$16=0.5,MROUND(BasketballResultat[[#This Row],[Resultat]],MO$16),ROUND(BasketballResultat[[#This Row],[Resultat]],MO$16)),ROUNDDOWN(BasketballResultat[[#This Row],[Resultat]],MO$16))</f>
        <v>0</v>
      </c>
      <c r="MO35" s="191" t="str">
        <f>IF(OR(Geschlecht[[#This Row],[Geschlecht (Skala)]]="",ML$16=""),"",MID(Geschlecht[[#This Row],[Geschlecht (Skala)]],1,1)&amp;MID(ML$16,1,1))</f>
        <v/>
      </c>
      <c r="MP35" s="190" t="str">
        <f>IF(OR(MO35="",BasketballResultat[[#This Row],[Resultat]]=""),"",REPLACE(INDEX(StdDisziplinen[TabÜberschriftResultat],ML$3),FIND("X",INDEX(StdDisziplinen[TabÜberschriftResultat],ML$3),1),2,MO35))</f>
        <v/>
      </c>
      <c r="MQ35" s="31" t="str">
        <f ca="1">IF(MP35="","",IF(OR(BasketballResultat[[#This Row],[Resultat]]=Stammdaten!$AX$22,BasketballResultat[[#This Row],[Resultat]]=Stammdaten!$AX$19),Stammdaten!$AX$19,IF(ISNA(INDEX(INDIRECT(MP35),MATCH(BasketballGerundet[[#This Row],[Rundung]],INDIRECT(MP35),MP$18))),IF(MP$18=-1,LARGE(INDIRECT(MP35),1),SMALL(INDIRECT(MP35),1)),INDEX(INDIRECT(MP35),MATCH(BasketballGerundet[[#This Row],[Rundung]],INDIRECT(MP35),MP$18)))))</f>
        <v/>
      </c>
      <c r="MS35" s="18" t="str">
        <f ca="1">IF(BasketballSkalawert[[#This Row],[Skala-Wert]]="","",REPLACE(INDEX(StdDisziplinen[TabÜberschriftNote],ML$3),FIND("X",INDEX(StdDisziplinen[TabÜberschriftNote],ML$3),1),2,MO35))</f>
        <v/>
      </c>
      <c r="MT35" s="31" t="str">
        <f ca="1">IF(OR(MS35="",BasketballSkalawert[[#This Row],[Skala-Wert]]=Stammdaten!$AX$19),"",INDEX(INDIRECT(MS35),MATCH(BasketballSkalawert[[#This Row],[Skala-Wert]],INDIRECT(MP35),0)))</f>
        <v/>
      </c>
      <c r="MU35" s="31"/>
      <c r="MV35" s="37"/>
      <c r="MW35" s="190"/>
      <c r="MX35" s="586">
        <f>IF(MX$16,IF(MY$16=0.5,MROUND(FussballResultat[[#This Row],[Resultat]],MY$16),ROUND(FussballResultat[[#This Row],[Resultat]],MY$16)),ROUNDDOWN(FussballResultat[[#This Row],[Resultat]],MY$16))</f>
        <v>0</v>
      </c>
      <c r="MY35" s="191" t="str">
        <f>IF(OR(Geschlecht[[#This Row],[Geschlecht (Skala)]]="",MV$16=""),"",MID(Geschlecht[[#This Row],[Geschlecht (Skala)]],1,1)&amp;MID(MV$16,1,1))</f>
        <v/>
      </c>
      <c r="MZ35" s="190" t="str">
        <f>IF(OR(MY35="",FussballResultat[[#This Row],[Resultat]]=""),"",REPLACE(INDEX(StdDisziplinen[TabÜberschriftResultat],MV$3),FIND("X",INDEX(StdDisziplinen[TabÜberschriftResultat],MV$3),1),2,MY35))</f>
        <v/>
      </c>
      <c r="NA35" s="31" t="str">
        <f ca="1">IF(MZ35="","",IF(OR(FussballResultat[[#This Row],[Resultat]]=Stammdaten!$AX$22,FussballResultat[[#This Row],[Resultat]]=Stammdaten!$AX$19),Stammdaten!$AX$19,IF(ISNA(INDEX(INDIRECT(MZ35),MATCH(FussballGerundet[[#This Row],[Rundung]],INDIRECT(MZ35),MZ$18))),IF(MZ$18=-1,LARGE(INDIRECT(MZ35),1),SMALL(INDIRECT(MZ35),1)),INDEX(INDIRECT(MZ35),MATCH(FussballGerundet[[#This Row],[Rundung]],INDIRECT(MZ35),MZ$18)))))</f>
        <v/>
      </c>
      <c r="NC35" s="18" t="str">
        <f ca="1">IF(FussballSkalawert[[#This Row],[Skala-Wert]]="","",REPLACE(INDEX(StdDisziplinen[TabÜberschriftNote],MV$3),FIND("X",INDEX(StdDisziplinen[TabÜberschriftNote],MV$3),1),2,MY35))</f>
        <v/>
      </c>
      <c r="ND35" s="31" t="str">
        <f ca="1">IF(OR(NC35="",FussballSkalawert[[#This Row],[Skala-Wert]]=Stammdaten!$AX$19),"",INDEX(INDIRECT(NC35),MATCH(FussballSkalawert[[#This Row],[Skala-Wert]],INDIRECT(MZ35),0)))</f>
        <v/>
      </c>
      <c r="NE35" s="31"/>
      <c r="NF35" s="37"/>
      <c r="NG35" s="190"/>
      <c r="NH35" s="586">
        <f>IF(NH$16,IF(NI$16=0.5,MROUND(HandballResultat[[#This Row],[Resultat]],NI$16),ROUND(HandballResultat[[#This Row],[Resultat]],NI$16)),ROUNDDOWN(HandballResultat[[#This Row],[Resultat]],NI$16))</f>
        <v>0</v>
      </c>
      <c r="NI35" s="191" t="str">
        <f>IF(OR(Geschlecht[[#This Row],[Geschlecht (Skala)]]="",NF$16=""),"",MID(Geschlecht[[#This Row],[Geschlecht (Skala)]],1,1)&amp;MID(NF$16,1,1))</f>
        <v/>
      </c>
      <c r="NJ35" s="190" t="str">
        <f>IF(OR(NI35="",HandballResultat[[#This Row],[Resultat]]=""),"",REPLACE(INDEX(StdDisziplinen[TabÜberschriftResultat],NF$3),FIND("X",INDEX(StdDisziplinen[TabÜberschriftResultat],NF$3),1),2,NI35))</f>
        <v/>
      </c>
      <c r="NK35" s="31" t="str">
        <f ca="1">IF(NJ35="","",IF(OR(HandballResultat[[#This Row],[Resultat]]=Stammdaten!$AX$22,HandballResultat[[#This Row],[Resultat]]=Stammdaten!$AX$19),Stammdaten!$AX$19,IF(ISNA(INDEX(INDIRECT(NJ35),MATCH(HandballGerundet[[#This Row],[Rundung]],INDIRECT(NJ35),NJ$18))),IF(NJ$18=-1,LARGE(INDIRECT(NJ35),1),SMALL(INDIRECT(NJ35),1)),INDEX(INDIRECT(NJ35),MATCH(HandballGerundet[[#This Row],[Rundung]],INDIRECT(NJ35),NJ$18)))))</f>
        <v/>
      </c>
      <c r="NM35" s="18" t="str">
        <f ca="1">IF(HandballSkalawert[[#This Row],[Skala-Wert]]="","",REPLACE(INDEX(StdDisziplinen[TabÜberschriftNote],NF$3),FIND("X",INDEX(StdDisziplinen[TabÜberschriftNote],NF$3),1),2,NI35))</f>
        <v/>
      </c>
      <c r="NN35" s="31" t="str">
        <f ca="1">IF(OR(NM35="",HandballSkalawert[[#This Row],[Skala-Wert]]=Stammdaten!$AX$19),"",INDEX(INDIRECT(NM35),MATCH(HandballSkalawert[[#This Row],[Skala-Wert]],INDIRECT(NJ35),0)))</f>
        <v/>
      </c>
      <c r="NO35" s="31"/>
      <c r="NP35" s="37"/>
      <c r="NQ35" s="190"/>
      <c r="NR35" s="586">
        <f>IF(NR$16,IF(NS$16=0.5,MROUND(UnihockeyResultat[[#This Row],[Resultat]],NS$16),ROUND(UnihockeyResultat[[#This Row],[Resultat]],NS$16)),ROUNDDOWN(UnihockeyResultat[[#This Row],[Resultat]],NS$16))</f>
        <v>0</v>
      </c>
      <c r="NS35" s="191" t="str">
        <f>IF(OR(Geschlecht[[#This Row],[Geschlecht (Skala)]]="",NP$16=""),"",MID(Geschlecht[[#This Row],[Geschlecht (Skala)]],1,1)&amp;MID(NP$16,1,1))</f>
        <v/>
      </c>
      <c r="NT35" s="190" t="str">
        <f>IF(OR(NS35="",UnihockeyResultat[[#This Row],[Resultat]]=""),"",REPLACE(INDEX(StdDisziplinen[TabÜberschriftResultat],NP$3),FIND("X",INDEX(StdDisziplinen[TabÜberschriftResultat],NP$3),1),2,NS35))</f>
        <v/>
      </c>
      <c r="NU35" s="31" t="str">
        <f ca="1">IF(NT35="","",IF(OR(UnihockeyResultat[[#This Row],[Resultat]]=Stammdaten!$AX$22,UnihockeyResultat[[#This Row],[Resultat]]=Stammdaten!$AX$19),Stammdaten!$AX$19,IF(ISNA(INDEX(INDIRECT(NT35),MATCH(UnihockeyGerundet[[#This Row],[Rundung]],INDIRECT(NT35),NT$18))),IF(NT$18=-1,LARGE(INDIRECT(NT35),1),SMALL(INDIRECT(NT35),1)),INDEX(INDIRECT(NT35),MATCH(UnihockeyGerundet[[#This Row],[Rundung]],INDIRECT(NT35),NT$18)))))</f>
        <v/>
      </c>
      <c r="NW35" s="18" t="str">
        <f ca="1">IF(UnihockeySkalawert[[#This Row],[Skala-Wert]]="","",REPLACE(INDEX(StdDisziplinen[TabÜberschriftNote],NP$3),FIND("X",INDEX(StdDisziplinen[TabÜberschriftNote],NP$3),1),2,NS35))</f>
        <v/>
      </c>
      <c r="NX35" s="31" t="str">
        <f ca="1">IF(OR(NW35="",UnihockeySkalawert[[#This Row],[Skala-Wert]]=Stammdaten!$AX$19),"",INDEX(INDIRECT(NW35),MATCH(UnihockeySkalawert[[#This Row],[Skala-Wert]],INDIRECT(NT35),0)))</f>
        <v/>
      </c>
      <c r="NY35" s="31"/>
      <c r="NZ35" s="597"/>
      <c r="OA35" s="190"/>
      <c r="OB35" s="587">
        <f>IF(OB$16,IF(OC$16=0.5,MROUND(VolleyballResultat[[#This Row],[Resultat]],OC$16),ROUND(VolleyballResultat[[#This Row],[Resultat]],OC$16)),ROUNDDOWN(VolleyballResultat[[#This Row],[Resultat]],OC$16))</f>
        <v>0</v>
      </c>
      <c r="OC35" s="191" t="str">
        <f>IF(OR(Geschlecht[[#This Row],[Geschlecht (Skala)]]="",NZ$16=""),"",MID(Geschlecht[[#This Row],[Geschlecht (Skala)]],1,1)&amp;MID(NZ$16,1,1))</f>
        <v/>
      </c>
      <c r="OD35" s="190" t="str">
        <f>IF(OR(OC35="",VolleyballResultat[[#This Row],[Resultat]]=""),"",REPLACE(INDEX(StdDisziplinen[TabÜberschriftResultat],NZ$3),FIND("X",INDEX(StdDisziplinen[TabÜberschriftResultat],NZ$3),1),2,OC35))</f>
        <v/>
      </c>
      <c r="OE35" s="192" t="str">
        <f ca="1">IF(OD35="","",IF(OR(VolleyballResultat[[#This Row],[Resultat]]=Stammdaten!$AX$22,VolleyballResultat[[#This Row],[Resultat]]=Stammdaten!$AX$19),Stammdaten!$AX$19,IF(ISNA(INDEX(INDIRECT(OD35),MATCH(VolleyballGerundet[[#This Row],[Rundung]],INDIRECT(OD35),OD$18))),IF(OD$18=-1,LARGE(INDIRECT(OD35),1),SMALL(INDIRECT(OD35),1)),INDEX(INDIRECT(OD35),MATCH(VolleyballGerundet[[#This Row],[Rundung]],INDIRECT(OD35),OD$18)))))</f>
        <v/>
      </c>
      <c r="OG35" s="18" t="str">
        <f ca="1">IF(VolleyballSkalawert[[#This Row],[Skala-Wert]]="","",REPLACE(INDEX(StdDisziplinen[TabÜberschriftNote],NZ$3),FIND("X",INDEX(StdDisziplinen[TabÜberschriftNote],NZ$3),1),2,OC35))</f>
        <v/>
      </c>
      <c r="OH35" s="31" t="str">
        <f ca="1">IF(OR(OG35="",VolleyballSkalawert[[#This Row],[Skala-Wert]]=Stammdaten!$AX$19),"",INDEX(INDIRECT(OG35),MATCH(VolleyballSkalawert[[#This Row],[Skala-Wert]],INDIRECT(OD35),0)))</f>
        <v/>
      </c>
      <c r="OI35" s="45"/>
      <c r="OJ35" s="31">
        <f ca="1">IF(BasketballSkalawert[[#This Row],[Skala-Wert]]=$A$3,$A$2,IF(BasketballNote[[#This Row],[Note]]="",0,BasketballNote[[#This Row],[Note]]))</f>
        <v>0</v>
      </c>
      <c r="OK35" s="31">
        <f ca="1">IF(FussballSkalawert[[#This Row],[Skala-Wert]]=$A$3,$A$2,IF(FussballNote[[#This Row],[Note]]="",0,FussballNote[[#This Row],[Note]]))</f>
        <v>0</v>
      </c>
      <c r="OL35" s="31">
        <f ca="1">IF(HandballSkalawert[[#This Row],[Skala-Wert]]=$A$3,$A$2,IF(HandballNote[[#This Row],[Note]]="",0,HandballNote[[#This Row],[Note]]))</f>
        <v>0</v>
      </c>
      <c r="OM35" s="31">
        <f ca="1">IF(UnihockeySkalawert[[#This Row],[Skala-Wert]]=$A$3,$A$2,IF(UnihockeyNote[[#This Row],[Note]]="",0,UnihockeyNote[[#This Row],[Note]]))</f>
        <v>0</v>
      </c>
      <c r="ON35" s="31">
        <f ca="1">IF(VolleyballSkalawert[[#This Row],[Skala-Wert]]=$A$3,$A$2,IF(VolleyballNote[[#This Row],[Note]]="",0,VolleyballNote[[#This Row],[Note]]))</f>
        <v>0</v>
      </c>
      <c r="OO35" s="202">
        <f t="shared" ca="1" si="28"/>
        <v>0</v>
      </c>
      <c r="OP35" s="202">
        <f t="shared" ca="1" si="29"/>
        <v>0</v>
      </c>
      <c r="OQ35" s="202">
        <f t="shared" ca="1" si="143"/>
        <v>0</v>
      </c>
      <c r="OR35" s="96" t="str">
        <f t="shared" ca="1" si="144"/>
        <v>!</v>
      </c>
      <c r="OS35" s="96" t="str">
        <f t="shared" ca="1" si="30"/>
        <v>!</v>
      </c>
      <c r="OT35" s="96" t="str">
        <f t="shared" ca="1" si="31"/>
        <v>!</v>
      </c>
      <c r="OU35" s="96" t="str">
        <f ca="1">IF(NOT(OQ35),INDEX(StdFehler[StdFehler],4),IF(COUNTIF(OR35:OT35,$A$2)&gt;=$OQ$13,$A$3,ROUND(AVERAGE(OR35:OT35)/$RX$4,0)*$RX$4))</f>
        <v>Zu wenige Noten</v>
      </c>
      <c r="OV35" s="244" t="str">
        <f t="shared" ca="1" si="145"/>
        <v>nd</v>
      </c>
      <c r="OW35" s="244" t="str">
        <f t="shared" ca="1" si="146"/>
        <v>nd</v>
      </c>
      <c r="OX35" s="244" t="str">
        <f t="shared" ca="1" si="147"/>
        <v>nd</v>
      </c>
      <c r="OY35" s="244" t="str">
        <f t="shared" ca="1" si="148"/>
        <v>nd</v>
      </c>
      <c r="OZ35" s="244" t="str">
        <f t="shared" ca="1" si="149"/>
        <v>nd</v>
      </c>
      <c r="PA35" s="202" t="b">
        <f t="shared" ca="1" si="150"/>
        <v>0</v>
      </c>
      <c r="PB35" s="202">
        <f t="shared" ca="1" si="151"/>
        <v>1</v>
      </c>
      <c r="PC35" s="202">
        <f t="shared" ca="1" si="152"/>
        <v>0</v>
      </c>
      <c r="PD35" s="96" t="str">
        <f t="shared" ca="1" si="153"/>
        <v/>
      </c>
      <c r="PE35" s="96" t="str">
        <f t="shared" ca="1" si="154"/>
        <v/>
      </c>
      <c r="PF35" s="200">
        <f t="shared" ca="1" si="155"/>
        <v>0</v>
      </c>
      <c r="PG35" s="202" t="str">
        <f t="shared" ca="1" si="156"/>
        <v/>
      </c>
      <c r="PH35" s="200" t="str">
        <f t="shared" ca="1" si="157"/>
        <v/>
      </c>
      <c r="PI35" s="200" t="str">
        <f t="shared" ca="1" si="158"/>
        <v/>
      </c>
      <c r="PJ35" s="200" t="str">
        <f t="shared" ca="1" si="159"/>
        <v/>
      </c>
      <c r="PK35" s="242" t="str">
        <f t="shared" ca="1" si="160"/>
        <v/>
      </c>
      <c r="PL35" s="242" t="str">
        <f t="shared" ca="1" si="161"/>
        <v/>
      </c>
      <c r="PM35" s="242" t="str">
        <f t="shared" ca="1" si="162"/>
        <v/>
      </c>
      <c r="PN35" s="242" t="str">
        <f t="shared" ca="1" si="163"/>
        <v>Erste Spielsportart</v>
      </c>
      <c r="PO35" s="242" t="str">
        <f ca="1">IF(PN35=$PM$11,Stammdaten!$AY$27,IF(PR35=$A$2,TRIM(Stammdaten!$AX$25),""))</f>
        <v>nicht durchgeführt</v>
      </c>
      <c r="PP35" s="242" t="str">
        <f t="shared" ca="1" si="164"/>
        <v/>
      </c>
      <c r="PQ35" s="202" t="str">
        <f t="shared" ca="1" si="165"/>
        <v>Erste SpielsportartResultat[@Resultat]</v>
      </c>
      <c r="PR35" s="98" t="str">
        <f t="shared" ca="1" si="166"/>
        <v/>
      </c>
      <c r="PS35" s="202" t="str">
        <f t="shared" ca="1" si="167"/>
        <v/>
      </c>
      <c r="PT35" s="202" t="str">
        <f t="shared" ca="1" si="168"/>
        <v>Erste SpielsportartSkalawert[@[Skala-Wert]]</v>
      </c>
      <c r="PU35" s="98" t="str">
        <f t="shared" ca="1" si="169"/>
        <v/>
      </c>
      <c r="PV35" s="202" t="str">
        <f t="shared" ca="1" si="170"/>
        <v/>
      </c>
      <c r="PW35" s="202" t="str">
        <f t="shared" ca="1" si="171"/>
        <v/>
      </c>
      <c r="PX35" s="202" t="str">
        <f t="shared" ca="1" si="172"/>
        <v>StdDisziplinen[MaxTextSt]</v>
      </c>
      <c r="PY35" s="202" t="str">
        <f t="shared" ca="1" si="173"/>
        <v/>
      </c>
      <c r="PZ35" s="202" t="b">
        <f t="shared" ca="1" si="174"/>
        <v>0</v>
      </c>
      <c r="QA35" s="202" t="str">
        <f t="shared" ca="1" si="175"/>
        <v/>
      </c>
      <c r="QB35" s="202" t="str">
        <f t="shared" ca="1" si="32"/>
        <v/>
      </c>
      <c r="QC35" s="202" t="str">
        <f t="shared" ca="1" si="176"/>
        <v/>
      </c>
      <c r="QD35" s="202" t="str">
        <f t="shared" ca="1" si="177"/>
        <v/>
      </c>
      <c r="QE35" s="242" t="str">
        <f t="shared" ca="1" si="178"/>
        <v/>
      </c>
      <c r="QF35" s="242" t="str">
        <f t="shared" ca="1" si="179"/>
        <v/>
      </c>
      <c r="QG35" s="242" t="str">
        <f t="shared" ca="1" si="180"/>
        <v>Zweite Spielsportart</v>
      </c>
      <c r="QH35" s="242" t="str">
        <f ca="1">IF(QG35=$QF$11,Stammdaten!$AY$27,IF(QK35=$A$2,TRIM(Stammdaten!$AX$25),""))</f>
        <v>nicht durchgeführt</v>
      </c>
      <c r="QI35" s="242" t="str">
        <f t="shared" ca="1" si="181"/>
        <v/>
      </c>
      <c r="QJ35" s="202" t="str">
        <f t="shared" ca="1" si="182"/>
        <v>Zweite SpielsportartResultat[@Resultat]</v>
      </c>
      <c r="QK35" s="98" t="str">
        <f t="shared" ca="1" si="183"/>
        <v/>
      </c>
      <c r="QL35" s="202" t="str">
        <f t="shared" ca="1" si="184"/>
        <v/>
      </c>
      <c r="QM35" s="202" t="str">
        <f t="shared" ca="1" si="185"/>
        <v>Zweite SpielsportartSkalawert[@[Skala-Wert]]</v>
      </c>
      <c r="QN35" s="98" t="str">
        <f t="shared" ca="1" si="186"/>
        <v/>
      </c>
      <c r="QO35" s="202" t="str">
        <f t="shared" ca="1" si="187"/>
        <v/>
      </c>
      <c r="QP35" s="202" t="str">
        <f t="shared" ca="1" si="188"/>
        <v/>
      </c>
      <c r="QQ35" s="202" t="str">
        <f t="shared" ca="1" si="189"/>
        <v>StdDisziplinen[MaxTextSt]</v>
      </c>
      <c r="QR35" s="202" t="str">
        <f t="shared" ca="1" si="190"/>
        <v/>
      </c>
      <c r="QS35" s="202" t="b">
        <f t="shared" ca="1" si="191"/>
        <v>0</v>
      </c>
      <c r="QT35" s="242" t="str">
        <f t="shared" ca="1" si="33"/>
        <v>Dritte Spielsportart</v>
      </c>
      <c r="QU35" s="242" t="str">
        <f ca="1">IF(QT35=$QT$11,MID(Stammdaten!$AX$27,2,LEN(Stammdaten!$AX$27)),IF(QX35=$A$2,TRIM(Stammdaten!$AX$25),""))</f>
        <v>nicht durchgeführt</v>
      </c>
      <c r="QV35" s="242" t="str">
        <f t="shared" ca="1" si="34"/>
        <v/>
      </c>
      <c r="QW35" s="202" t="str">
        <f t="shared" ca="1" si="192"/>
        <v>Dritte SpielsportartResultat[@Resultat]</v>
      </c>
      <c r="QX35" s="98" t="str">
        <f t="shared" ca="1" si="193"/>
        <v/>
      </c>
      <c r="QY35" s="202" t="str">
        <f t="shared" ca="1" si="35"/>
        <v/>
      </c>
      <c r="QZ35" s="202" t="str">
        <f t="shared" ca="1" si="194"/>
        <v>Dritte SpielsportartSkalawert[@[Skala-Wert]]</v>
      </c>
      <c r="RA35" s="98" t="str">
        <f t="shared" ca="1" si="224"/>
        <v/>
      </c>
      <c r="RB35" s="202" t="str">
        <f t="shared" ca="1" si="36"/>
        <v/>
      </c>
      <c r="RC35" s="202" t="str">
        <f t="shared" ca="1" si="196"/>
        <v/>
      </c>
      <c r="RD35" s="202" t="str">
        <f t="shared" ca="1" si="197"/>
        <v>StdDisziplinen[MaxTextSt]</v>
      </c>
      <c r="RE35" s="202" t="str">
        <f t="shared" ca="1" si="37"/>
        <v/>
      </c>
      <c r="RF35" s="244">
        <f t="shared" ca="1" si="38"/>
        <v>99</v>
      </c>
      <c r="RG35" s="244">
        <f t="shared" ca="1" si="39"/>
        <v>99</v>
      </c>
      <c r="RH35" s="244">
        <f t="shared" ca="1" si="40"/>
        <v>99</v>
      </c>
      <c r="RI35" s="244">
        <f t="shared" ca="1" si="41"/>
        <v>99</v>
      </c>
      <c r="RJ35" s="244">
        <f t="shared" ca="1" si="42"/>
        <v>99</v>
      </c>
      <c r="RK35" s="244">
        <f t="shared" ca="1" si="198"/>
        <v>99</v>
      </c>
      <c r="RL35" s="244">
        <f t="shared" ca="1" si="199"/>
        <v>99</v>
      </c>
      <c r="RM35" s="244">
        <f t="shared" ca="1" si="200"/>
        <v>99</v>
      </c>
      <c r="RN35" s="244">
        <f t="shared" ca="1" si="201"/>
        <v>99</v>
      </c>
      <c r="RO35" s="244">
        <f t="shared" ca="1" si="202"/>
        <v>99</v>
      </c>
      <c r="RP35" s="202" t="str">
        <f t="shared" ca="1" si="43"/>
        <v>Zu wenige Noten</v>
      </c>
      <c r="RQ35" s="202" t="str">
        <f t="shared" ca="1" si="203"/>
        <v>Zu wenige Noten</v>
      </c>
      <c r="RR35" s="202" t="str">
        <f t="shared" ca="1" si="203"/>
        <v>Zu wenige Noten</v>
      </c>
      <c r="RS35" s="202" t="str">
        <f t="shared" ca="1" si="204"/>
        <v>Zu wenige Noten</v>
      </c>
      <c r="RT35" s="202" t="str">
        <f t="shared" ca="1" si="204"/>
        <v>Zu wenige Noten</v>
      </c>
      <c r="RU35" s="202" t="str">
        <f t="shared" ca="1" si="205"/>
        <v>Zu wenige Noten</v>
      </c>
      <c r="RV35" s="202" t="str">
        <f t="shared" ca="1" si="206"/>
        <v>Zu wenige Noten</v>
      </c>
      <c r="RW35" s="31"/>
      <c r="RX35" s="56" t="str">
        <f t="shared" ca="1" si="44"/>
        <v>Zu wenige Noten</v>
      </c>
      <c r="RY35" s="31"/>
      <c r="RZ35" s="31" t="str">
        <f t="shared" ca="1" si="45"/>
        <v>Zu wenige Noten</v>
      </c>
      <c r="SA35" s="31" t="str">
        <f t="shared" ca="1" si="46"/>
        <v>Zu wenige Noten</v>
      </c>
      <c r="SB35" s="45" t="str">
        <f t="shared" ca="1" si="47"/>
        <v>Zu wenige Noten</v>
      </c>
      <c r="SC35" s="31" t="str">
        <f t="shared" ca="1" si="207"/>
        <v>Zu wenige Noten</v>
      </c>
      <c r="SD35" s="31" t="str">
        <f t="shared" ca="1" si="208"/>
        <v>Zu wenige Noten</v>
      </c>
      <c r="SE35" s="31" t="str">
        <f t="shared" ref="SE35:SE48" ca="1" si="225">TEXT(SA35,"#.0")</f>
        <v>Zu wenige Noten</v>
      </c>
      <c r="SF35" s="31" t="str">
        <f t="shared" ca="1" si="209"/>
        <v>Zu wenige Noten</v>
      </c>
      <c r="SG35" s="31" t="str">
        <f t="shared" ref="SG35:SG48" ca="1" si="226">TEXT(SC35,"#.0")</f>
        <v>Zu wenige Noten</v>
      </c>
      <c r="SH35" s="36">
        <f t="shared" ca="1" si="210"/>
        <v>0</v>
      </c>
      <c r="SI35" s="36">
        <f t="shared" ca="1" si="211"/>
        <v>0</v>
      </c>
      <c r="SJ35" s="36">
        <f t="shared" ca="1" si="212"/>
        <v>0</v>
      </c>
      <c r="SK35" s="31">
        <f t="shared" ca="1" si="213"/>
        <v>99</v>
      </c>
      <c r="SL35" s="31">
        <f t="shared" ca="1" si="214"/>
        <v>99</v>
      </c>
      <c r="SM35" s="36" t="str">
        <f t="shared" ca="1" si="215"/>
        <v>99.0</v>
      </c>
      <c r="SN35" s="31">
        <f t="shared" ca="1" si="216"/>
        <v>99</v>
      </c>
      <c r="SO35" s="36" t="str">
        <f ca="1">IF(NOT(SJ35),INDEX(StdFehler[StdFehler],4),IF(SI35=$SJ$13,$A$3,CONCATENATE(TEXT(SK35,"#.0"),", ",TEXT(SL35,"#.0"),", ",SM35,", ",TEXT(SN35,"#.0"))))</f>
        <v>Zu wenige Noten</v>
      </c>
      <c r="SP35" s="36" t="str">
        <f t="shared" ca="1" si="49"/>
        <v>Zu wenige Noten</v>
      </c>
      <c r="SQ35" s="36" t="str">
        <f t="shared" ca="1" si="49"/>
        <v>Zu wenige Noten</v>
      </c>
      <c r="SR35" s="36" t="str">
        <f t="shared" ca="1" si="49"/>
        <v>Zu wenige Noten</v>
      </c>
      <c r="SS35" s="36" t="str">
        <f t="shared" ca="1" si="49"/>
        <v>Zu wenige Noten</v>
      </c>
      <c r="ST35" s="36" t="str">
        <f t="shared" ca="1" si="217"/>
        <v>Zu wenige Noten</v>
      </c>
      <c r="SU35" s="36"/>
      <c r="SV35" s="214" t="str">
        <f t="shared" si="218"/>
        <v>D</v>
      </c>
      <c r="SW35" s="36"/>
      <c r="SX35" s="214" t="str">
        <f t="shared" si="219"/>
        <v>D</v>
      </c>
      <c r="SY35" s="36"/>
      <c r="SZ35" s="214" t="str">
        <f t="shared" si="220"/>
        <v>D</v>
      </c>
      <c r="TA35" s="36"/>
      <c r="TB35" s="214" t="str">
        <f t="shared" si="221"/>
        <v>D</v>
      </c>
      <c r="TC35" s="31"/>
      <c r="TD35" s="36" t="str">
        <f t="shared" ca="1" si="222"/>
        <v>Zu wenige Noten</v>
      </c>
      <c r="TE35" s="31"/>
      <c r="TF35" s="193" t="str">
        <f ca="1">IF(NOT(SJ35),INDEX(StdFehler[StdFehler],4),IF(SI35=$TF$4,$A$3,ROUND(AVERAGE(RZ35:SC35)/$TF$5,0)*$TF$5))</f>
        <v>Zu wenige Noten</v>
      </c>
      <c r="TH35" s="595" t="str">
        <f>IF(OR($TH$18=Stammdaten!$AX$20,$TH$18=""),Stammdaten!$AX$20,$TH$18)</f>
        <v>Disziplin</v>
      </c>
      <c r="TI35" s="33"/>
      <c r="TJ35" s="33" t="str">
        <f>IF(OR(Geschlecht[[#This Row],[Geschlecht (Skala)]]="",TH35="",TH35=Stammdaten!$AX$20),"",REPLACE(INDEX(StdDisziplinen[TabÜberschriftResultat],TH$3),FIND("XX",INDEX(StdDisziplinen[TabÜberschriftResultat],TH$3),1),2,Geschlecht[[#This Row],[Geschlecht (Skala)]]))</f>
        <v/>
      </c>
      <c r="TK35" s="596"/>
      <c r="TM35" s="37"/>
      <c r="TN35" s="40"/>
      <c r="TO35" s="587">
        <f>IF(TO$16,IF(TP$16=0.5,MROUND(SchwimmenResultat[[#This Row],[Resultat]],TP$16),ROUND(SchwimmenResultat[[#This Row],[Resultat]],TP$16)),ROUNDDOWN(SchwimmenResultat[[#This Row],[Resultat]],TP$16))</f>
        <v>0</v>
      </c>
      <c r="TP35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5" s="153" t="str">
        <f ca="1">IF(TP35="","",IF(OR(SchwimmenResultat[[#This Row],[Resultat]]=Stammdaten!$AX$22,SchwimmenResultat[[#This Row],[Resultat]]=Stammdaten!$AX$19),Stammdaten!$AX$19,IF(ISNA(INDEX(INDIRECT(TP35),MATCH(SchwimmenGerundet[[#This Row],[Rundung]],INDIRECT(TP35),TP$18))),IF(TP$18=-1,LARGE(INDIRECT(TP35),1),SMALL(INDIRECT(TP35),1)),INDEX(INDIRECT(TP35),MATCH(SchwimmenGerundet[[#This Row],[Rundung]],INDIRECT(TP35),TP$18)))))</f>
        <v/>
      </c>
      <c r="TR35" s="33" t="str">
        <f>IF(OR(TP35="",SchwimmenResultat[[#This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5" s="33"/>
      <c r="TT35" s="36" t="str">
        <f ca="1">IF(OR(TR35="",SchwimmenSkalawert[[#This Row],[Skala-Wert]]=Stammdaten!$AX$19),"",INDEX(INDIRECT(TR35),MATCH(SchwimmenSkalawert[[#This Row],[Skala-Wert]],INDIRECT(TP35),0)))</f>
        <v/>
      </c>
      <c r="TU35" s="36"/>
      <c r="TV35" s="190" t="str">
        <f>IF(ZwölfMinLaufHalleResultat[[#This Row],[Resultat]]=0,"",ZwölfMinLaufHalleResultat[[#This Row],[Resultat]])</f>
        <v/>
      </c>
      <c r="TW35" s="190"/>
      <c r="TX35" s="31" t="str">
        <f ca="1">ZwölfMinLaufHalleSkalawert[[#This Row],[Skala-Wert]]</f>
        <v/>
      </c>
      <c r="TZ35" s="31" t="str">
        <f ca="1">ZwölfMinLaufHalleNote[[#This Row],[Note]]</f>
        <v/>
      </c>
      <c r="UA35" s="31"/>
      <c r="UB35" s="190" t="str">
        <f>IF(ZwölfMinLaufimFreienResultat[[#This Row],[Resultat]]=0,"",ZwölfMinLaufimFreienResultat[[#This Row],[Resultat]])</f>
        <v/>
      </c>
      <c r="UC35" s="190"/>
      <c r="UD35" s="192" t="str">
        <f ca="1">ZwölfMinLaufimFreienSkalawert[[#This Row],[Skala-Wert]]</f>
        <v/>
      </c>
      <c r="UF35" s="31" t="str">
        <f ca="1">ZwölfMinLaufimFreienNote[[#This Row],[Note]]</f>
        <v/>
      </c>
      <c r="UG35" s="31"/>
      <c r="UH35" s="597"/>
      <c r="UI35" s="190"/>
      <c r="UJ35" s="587">
        <f>IF(UJ$16,IF(UK$16=0.5,MROUND(BeweglichkeitResultat[[#This Row],[Resultat]],UK$16),ROUND(BeweglichkeitResultat[[#This Row],[Resultat]],UK$16)),ROUNDDOWN(BeweglichkeitResultat[[#This Row],[Resultat]],UK$16))</f>
        <v>0</v>
      </c>
      <c r="UK35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5" s="192" t="str">
        <f ca="1">IF(UK35="","",IF(OR(BeweglichkeitResultat[[#This Row],[Resultat]]=Stammdaten!$AX$22,BeweglichkeitResultat[[#This Row],[Resultat]]=Stammdaten!$AX$19),Stammdaten!$AX$19,IF(ISNA(INDEX(INDIRECT(UK35),MATCH(BeweglichkeitGerundet[[#This Row],[Rundung]],INDIRECT(UK35),UK$18))),IF(UK$18=-1,LARGE(INDIRECT(UK35),1),SMALL(INDIRECT(UK35),1)),INDEX(INDIRECT(UK35),MATCH(BeweglichkeitGerundet[[#This Row],[Rundung]],INDIRECT(UK35),UK$18)))))</f>
        <v/>
      </c>
      <c r="UN35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5" s="36" t="str">
        <f ca="1">IF(OR(UK35="",BeweglichkeitSkalawert[[#This Row],[Skala-Wert]]=Stammdaten!$AX$19),"",INDEX(INDIRECT(UN35),MATCH(BeweglichkeitSkalawert[[#This Row],[Skala-Wert]],INDIRECT(UK35),0)))</f>
        <v/>
      </c>
      <c r="UP35" s="31"/>
      <c r="UQ35" s="597"/>
      <c r="UR35" s="190"/>
      <c r="US35" s="587">
        <f>IF(US$16,IF(UT$16=0.5,MROUND(RumpfkraftResultat[[#This Row],[Resultat]],UT$16),ROUND(RumpfkraftResultat[[#This Row],[Resultat]],UT$16)),ROUNDDOWN(RumpfkraftResultat[[#This Row],[Resultat]],UT$16))</f>
        <v>0</v>
      </c>
      <c r="UT35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5" s="192" t="str">
        <f ca="1">IF(UT35="","",IF(OR(RumpfkraftResultat[[#This Row],[Resultat]]=Stammdaten!$AX$22,RumpfkraftResultat[[#This Row],[Resultat]]=Stammdaten!$AX$19),Stammdaten!$AX$19,IF(ISNA(INDEX(INDIRECT(UT35),MATCH(RumpfkraftGerundet[[#This Row],[Rundung]],INDIRECT(UT35),UT$18))),IF(UT$18=-1,LARGE(INDIRECT(UT35),1),SMALL(INDIRECT(UT35),1)),INDEX(INDIRECT(UT35),MATCH(RumpfkraftGerundet[[#This Row],[Rundung]],INDIRECT(UT35),UT$18)))))</f>
        <v/>
      </c>
      <c r="UW35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5" s="36" t="str">
        <f ca="1">IF(OR(UT35="",RumpfkraftSkalawert[[#This Row],[Skala-Wert]]=Stammdaten!$AX$19),"",INDEX(INDIRECT(UW35),MATCH(RumpfkraftSkalawert[[#This Row],[Skala-Wert]],INDIRECT(UT35),0)))</f>
        <v/>
      </c>
      <c r="UY35" s="31"/>
      <c r="UZ35" s="190" t="str">
        <f>IF(SechzigmLaufResultat[[#This Row],[Resultat]]=0,"",SechzigmLaufResultat[[#This Row],[Resultat]])</f>
        <v/>
      </c>
      <c r="VA35" s="190"/>
      <c r="VB35" s="45" t="str">
        <f ca="1">SechzigmLaufSkalawert[[#This Row],[Skala-Wert]]</f>
        <v/>
      </c>
      <c r="VD35" s="31" t="str">
        <f ca="1">SechzigmLaufNote[[#This Row],[Note]]</f>
        <v/>
      </c>
      <c r="VE35" s="31"/>
      <c r="VF35" s="190" t="str">
        <f>IF(AchtzigmLaufResultat[[#This Row],[Resultat]]=0,"",AchtzigmLaufResultat[[#This Row],[Resultat]])</f>
        <v/>
      </c>
      <c r="VG35" s="190"/>
      <c r="VH35" s="45" t="str">
        <f ca="1">AchtzigmLaufSkalawert[[#This Row],[Skala-Wert]]</f>
        <v/>
      </c>
      <c r="VJ35" s="31" t="str">
        <f ca="1">AchtzigmLaufNote[[#This Row],[Note]]</f>
        <v/>
      </c>
      <c r="VK35" s="31"/>
      <c r="VL35" s="37"/>
      <c r="VM35" s="190"/>
      <c r="VN35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5" s="191" t="str">
        <f>IF(OR(Geschlecht[[#This Row],[Geschlecht (Skala)]]="",VL$16=""),"",MID(Geschlecht[[#This Row],[Geschlecht (Skala)]],1,1)&amp;MID(VL$16,1,1))</f>
        <v/>
      </c>
      <c r="VP35" s="190" t="str">
        <f>IF(OR(VO35="",KonditionsparcoursResultat[[#This Row],[Resultat]]=""),"",REPLACE(INDEX(StdDisziplinen[TabÜberschriftResultat],VL$3),FIND("X",INDEX(StdDisziplinen[TabÜberschriftResultat],VL$3),1),2,VO35))</f>
        <v/>
      </c>
      <c r="VQ35" s="192" t="str">
        <f ca="1">IF(VP35="","",IF(OR(KonditionsparcoursResultat[[#This Row],[Resultat]]=Stammdaten!$AX$22,KonditionsparcoursResultat[[#This Row],[Resultat]]=Stammdaten!$AX$19),Stammdaten!$AX$19,IF(ISNA(INDEX(INDIRECT(VP35),MATCH(KonditionsparcoursGerundet[[#This Row],[Rundung]],INDIRECT(VP35),VP$18))),IF(VP$18=-1,LARGE(INDIRECT(VP35),1),SMALL(INDIRECT(VP35),1)),INDEX(INDIRECT(VP35),MATCH(KonditionsparcoursGerundet[[#This Row],[Rundung]],INDIRECT(VP35),VP$18)))))</f>
        <v/>
      </c>
      <c r="VS35" s="18" t="str">
        <f ca="1">IF(KonditionsparcoursSkalawert[[#This Row],[Skala-Wert]]="","",REPLACE(INDEX(StdDisziplinen[TabÜberschriftNote],VL$3),FIND("X",INDEX(StdDisziplinen[TabÜberschriftNote],VL$3),1),2,VO35))</f>
        <v/>
      </c>
      <c r="VT35" s="31" t="str">
        <f ca="1">IF(OR(VS35="",KonditionsparcoursSkalawert[[#This Row],[Skala-Wert]]=Stammdaten!$AX$19),"",INDEX(INDIRECT(VS35),MATCH(KonditionsparcoursSkalawert[[#This Row],[Skala-Wert]],INDIRECT(VP35),0)))</f>
        <v/>
      </c>
      <c r="VU35" s="22"/>
    </row>
    <row r="36" spans="1:593" x14ac:dyDescent="0.3">
      <c r="A36" s="30">
        <v>18</v>
      </c>
      <c r="B36" s="589"/>
      <c r="C36" s="589"/>
      <c r="E36" s="591"/>
      <c r="G36" s="37"/>
      <c r="H36" s="190"/>
      <c r="I36" s="154">
        <f>IF(I$16,IF(J$16=0.5,MROUND(SechzigmLaufResultat[[#This Row],[Resultat]],J$16),ROUND(SechzigmLaufResultat[[#This Row],[Resultat]],J$16)),ROUNDDOWN(SechzigmLaufResultat[[#This Row],[Resultat]],J$16))</f>
        <v>0</v>
      </c>
      <c r="J36" s="191" t="str">
        <f>IF(OR(Geschlecht[[#This Row],[Geschlecht (Skala)]]="",G$16=""),"",MID(Geschlecht[[#This Row],[Geschlecht (Skala)]],1,1)&amp;MID(G$16,1,1))</f>
        <v/>
      </c>
      <c r="K36" s="190" t="str">
        <f>IF(OR(J36="",SechzigmLaufResultat[[#This Row],[Resultat]]=""),"",REPLACE(INDEX(StdDisziplinen[TabÜberschriftResultat],G$3),FIND("X",INDEX(StdDisziplinen[TabÜberschriftResultat],G$3),1),2,J36))</f>
        <v/>
      </c>
      <c r="L36" s="45" t="str">
        <f ca="1">IF(K36="","",IF(OR(SechzigmLaufResultat[[#This Row],[Resultat]]=Stammdaten!$AX$22,SechzigmLaufResultat[[#This Row],[Resultat]]=Stammdaten!$AX$19),Stammdaten!$AX$19,IF(ISNA(INDEX(INDIRECT(K36),MATCH(SechzigmLaufGerundet[[#This Row],[Rundung]],INDIRECT(K36),K$18))),IF(K$18=-1,LARGE(INDIRECT(K36),1),SMALL(INDIRECT(K36),1)),INDEX(INDIRECT(K36),MATCH(SechzigmLaufGerundet[[#This Row],[Rundung]],INDIRECT(K36),K$18)))))</f>
        <v/>
      </c>
      <c r="N36" s="18" t="str">
        <f ca="1">IF(SechzigmLaufSkalawert[[#This Row],[Skala-Wert]]="","",REPLACE(INDEX(StdDisziplinen[TabÜberschriftNote],G$3),FIND("X",INDEX(StdDisziplinen[TabÜberschriftNote],G$3),1),2,J36))</f>
        <v/>
      </c>
      <c r="O36" s="31" t="str">
        <f ca="1">IF(OR(N36="",SechzigmLaufSkalawert[[#This Row],[Skala-Wert]]=Stammdaten!$AX$19),"",INDEX(INDIRECT(N36),MATCH(SechzigmLaufSkalawert[[#This Row],[Skala-Wert]],INDIRECT(K36),0)))</f>
        <v/>
      </c>
      <c r="P36" s="31"/>
      <c r="Q36" s="37"/>
      <c r="R36" s="190"/>
      <c r="S36" s="154">
        <f>IF(S$16,IF(T$16=0.5,MROUND(AchtzigmLaufResultat[[#This Row],[Resultat]],T$16),ROUND(AchtzigmLaufResultat[[#This Row],[Resultat]],T$16)),ROUNDDOWN(AchtzigmLaufResultat[[#This Row],[Resultat]],T$16))</f>
        <v>0</v>
      </c>
      <c r="T36" s="191" t="str">
        <f>IF(OR(Geschlecht[[#This Row],[Geschlecht (Skala)]]="",Q$16=""),"",MID(Geschlecht[[#This Row],[Geschlecht (Skala)]],1,1)&amp;MID(Q$16,1,1))</f>
        <v/>
      </c>
      <c r="U36" s="190" t="str">
        <f>IF(OR(T36="",AchtzigmLaufResultat[[#This Row],[Resultat]]=""),"",REPLACE(INDEX(StdDisziplinen[TabÜberschriftResultat],Q$3),FIND("X",INDEX(StdDisziplinen[TabÜberschriftResultat],Q$3),1),2,T36))</f>
        <v/>
      </c>
      <c r="V36" s="45" t="str">
        <f ca="1">IF(U36="","",IF(OR(AchtzigmLaufResultat[[#This Row],[Resultat]]=Stammdaten!$AX$22,AchtzigmLaufResultat[[#This Row],[Resultat]]=Stammdaten!$AX$19),Stammdaten!$AX$19,IF(ISNA(INDEX(INDIRECT(U36),MATCH(AchtzigmLaufGerundet[[#This Row],[Rundung]],INDIRECT(U36),U$18))),IF(U$18=-1,LARGE(INDIRECT(U36),1),SMALL(INDIRECT(U36),1)),INDEX(INDIRECT(U36),MATCH(AchtzigmLaufGerundet[[#This Row],[Rundung]],INDIRECT(U36),U$18)))))</f>
        <v/>
      </c>
      <c r="X36" s="18" t="str">
        <f ca="1">IF(AchtzigmLaufSkalawert[[#This Row],[Skala-Wert]]="","",REPLACE(INDEX(StdDisziplinen[TabÜberschriftNote],Q$3),FIND("X",INDEX(StdDisziplinen[TabÜberschriftNote],Q$3),1),2,T36))</f>
        <v/>
      </c>
      <c r="Y36" s="31" t="str">
        <f ca="1">IF(OR(X36="",AchtzigmLaufSkalawert[[#This Row],[Skala-Wert]]=Stammdaten!$AX$19),"",INDEX(INDIRECT(X36),MATCH(AchtzigmLaufSkalawert[[#This Row],[Skala-Wert]],INDIRECT(U36),0)))</f>
        <v/>
      </c>
      <c r="Z36" s="31"/>
      <c r="AA36" s="37"/>
      <c r="AB36" s="190"/>
      <c r="AC36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6" s="191" t="str">
        <f>IF(OR(Geschlecht[[#This Row],[Geschlecht (Skala)]]="",AA$16=""),"",MID(Geschlecht[[#This Row],[Geschlecht (Skala)]],1,1)&amp;MID(AA$16,1,1))</f>
        <v/>
      </c>
      <c r="AE36" s="190" t="str">
        <f>IF(OR(AD36="",ZwölfMinLaufHalleResultat[[#This Row],[Resultat]]=""),"",REPLACE(INDEX(StdDisziplinen[TabÜberschriftResultat],AA$3),FIND("X",INDEX(StdDisziplinen[TabÜberschriftResultat],AA$3),1),2,AD36))</f>
        <v/>
      </c>
      <c r="AF36" s="31" t="str">
        <f ca="1">IF(AE36="","",IF(OR(ZwölfMinLaufHalleResultat[[#This Row],[Resultat]]=Stammdaten!$AX$22,ZwölfMinLaufHalleResultat[[#This Row],[Resultat]]=Stammdaten!$AX$19),Stammdaten!$AX$19,IF(ISNA(INDEX(INDIRECT(AE36),MATCH(ZwölfMinLaufHalleGerundet[[#This Row],[Rundung]],INDIRECT(AE36),AE$18))),IF(AE$18=-1,LARGE(INDIRECT(AE36),1),SMALL(INDIRECT(AE36),1)),INDEX(INDIRECT(AE36),MATCH(ZwölfMinLaufHalleGerundet[[#This Row],[Rundung]],INDIRECT(AE36),AE$18)))))</f>
        <v/>
      </c>
      <c r="AH36" s="18" t="str">
        <f ca="1">IF(ZwölfMinLaufHalleSkalawert[[#This Row],[Skala-Wert]]="","",REPLACE(INDEX(StdDisziplinen[TabÜberschriftNote],AA$3),FIND("X",INDEX(StdDisziplinen[TabÜberschriftNote],AA$3),1),2,AD36))</f>
        <v/>
      </c>
      <c r="AI36" s="31" t="str">
        <f ca="1">IF(OR(AH36="",ZwölfMinLaufHalleSkalawert[[#This Row],[Skala-Wert]]=Stammdaten!$AX$19),"",INDEX(INDIRECT(AH36),MATCH(ZwölfMinLaufHalleSkalawert[[#This Row],[Skala-Wert]],INDIRECT(AE36),0)))</f>
        <v/>
      </c>
      <c r="AJ36" s="31"/>
      <c r="AK36" s="597"/>
      <c r="AL36" s="190"/>
      <c r="AM36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6" s="191" t="str">
        <f>IF(OR(Geschlecht[[#This Row],[Geschlecht (Skala)]]="",AK$16=""),"",MID(Geschlecht[[#This Row],[Geschlecht (Skala)]],1,1)&amp;MID(AK$16,1,1))</f>
        <v/>
      </c>
      <c r="AO36" s="190" t="str">
        <f>IF(OR(AN36="",ZwölfMinLaufimFreienResultat[[#This Row],[Resultat]]=""),"",REPLACE(INDEX(StdDisziplinen[TabÜberschriftResultat],AK$3),FIND("X",INDEX(StdDisziplinen[TabÜberschriftResultat],AK$3),1),2,AN36))</f>
        <v/>
      </c>
      <c r="AP36" s="192" t="str">
        <f ca="1">IF(AO36="","",IF(OR(ZwölfMinLaufimFreienResultat[[#This Row],[Resultat]]=Stammdaten!$AX$22,ZwölfMinLaufimFreienResultat[[#This Row],[Resultat]]=Stammdaten!$AX$19),Stammdaten!$AX$19,IF(ISNA(INDEX(INDIRECT(AO36),MATCH(ZwölfMinLaufimFreienGerundet[[#This Row],[Rundung]],INDIRECT(AO36),AO$18))),IF(AO$18=-1,LARGE(INDIRECT(AO36),1),SMALL(INDIRECT(AO36),1)),INDEX(INDIRECT(AO36),MATCH(ZwölfMinLaufimFreienGerundet[[#This Row],[Rundung]],INDIRECT(AO36),AO$18)))))</f>
        <v/>
      </c>
      <c r="AR36" s="18" t="str">
        <f ca="1">IF(ZwölfMinLaufimFreienSkalawert[[#This Row],[Skala-Wert]]="","",REPLACE(INDEX(StdDisziplinen[TabÜberschriftNote],AK$3),FIND("X",INDEX(StdDisziplinen[TabÜberschriftNote],AK$3),1),2,AN36))</f>
        <v/>
      </c>
      <c r="AS36" s="31" t="str">
        <f ca="1">IF(OR(AR36="",ZwölfMinLaufimFreienSkalawert[[#This Row],[Skala-Wert]]=Stammdaten!$AX$19),"",INDEX(INDIRECT(AR36),MATCH(ZwölfMinLaufimFreienSkalawert[[#This Row],[Skala-Wert]],INDIRECT(AO36),0)))</f>
        <v/>
      </c>
      <c r="AT36" s="31"/>
      <c r="AU36" s="597"/>
      <c r="AV36" s="190"/>
      <c r="AW36" s="587">
        <f>IF(AW$16,IF(AX$16=0.5,MROUND(HochsprungResultat[[#This Row],[Resultat]],AX$16),ROUND(HochsprungResultat[[#This Row],[Resultat]],AX$16)),ROUNDDOWN(HochsprungResultat[[#This Row],[Resultat]],AX$16))</f>
        <v>0</v>
      </c>
      <c r="AX36" s="191" t="str">
        <f>IF(OR(Geschlecht[[#This Row],[Geschlecht (Skala)]]="",AU$16=""),"",MID(Geschlecht[[#This Row],[Geschlecht (Skala)]],1,1)&amp;MID(AU$16,1,1))</f>
        <v/>
      </c>
      <c r="AY36" s="190" t="str">
        <f>IF(OR(AX36="",HochsprungResultat[[#This Row],[Resultat]]=""),"",REPLACE(INDEX(StdDisziplinen[TabÜberschriftResultat],AU$3),FIND("X",INDEX(StdDisziplinen[TabÜberschriftResultat],AU$3),1),2,AX36))</f>
        <v/>
      </c>
      <c r="AZ36" s="192" t="str">
        <f ca="1">IF(AY36="","",IF(OR(HochsprungResultat[[#This Row],[Resultat]]=Stammdaten!$AX$22,HochsprungResultat[[#This Row],[Resultat]]=Stammdaten!$AX$19),Stammdaten!$AX$19,IF(ISNA(INDEX(INDIRECT(AY36),MATCH(HochsprungGerundet[[#This Row],[Rundung]],INDIRECT(AY36),AY$18))),IF(AY$18=-1,LARGE(INDIRECT(AY36),1),SMALL(INDIRECT(AY36),1)),INDEX(INDIRECT(AY36),MATCH(HochsprungGerundet[[#This Row],[Rundung]],INDIRECT(AY36),AY$18)))))</f>
        <v/>
      </c>
      <c r="BB36" s="18" t="str">
        <f ca="1">IF(HochsprungSkalawert[[#This Row],[Skala-Wert]]="","",REPLACE(INDEX(StdDisziplinen[TabÜberschriftNote],AU$3),FIND("X",INDEX(StdDisziplinen[TabÜberschriftNote],AU$3),1),2,AX36))</f>
        <v/>
      </c>
      <c r="BC36" s="31" t="str">
        <f ca="1">IF(OR(BB36="",HochsprungSkalawert[[#This Row],[Skala-Wert]]=Stammdaten!$AX$19),"",INDEX(INDIRECT(BB36),MATCH(HochsprungSkalawert[[#This Row],[Skala-Wert]],INDIRECT(AY36),0)))</f>
        <v/>
      </c>
      <c r="BD36" s="31"/>
      <c r="BE36" s="597"/>
      <c r="BF36" s="190"/>
      <c r="BG36" s="587">
        <f>IF(BG$16,IF(BH$16=0.5,MROUND(WeitsprungResultat[[#This Row],[Resultat]],BH$16),ROUND(WeitsprungResultat[[#This Row],[Resultat]],BH$16)),ROUNDDOWN(WeitsprungResultat[[#This Row],[Resultat]],BH$16))</f>
        <v>0</v>
      </c>
      <c r="BH36" s="191" t="str">
        <f>IF(OR(Geschlecht[[#This Row],[Geschlecht (Skala)]]="",BE$16=""),"",MID(Geschlecht[[#This Row],[Geschlecht (Skala)]],1,1)&amp;MID(BE$16,1,1))</f>
        <v/>
      </c>
      <c r="BI36" s="190" t="str">
        <f>IF(OR(BH36="",WeitsprungResultat[[#This Row],[Resultat]]=""),"",REPLACE(INDEX(StdDisziplinen[TabÜberschriftResultat],BE$3),FIND("X",INDEX(StdDisziplinen[TabÜberschriftResultat],BE$3),1),2,BH36))</f>
        <v/>
      </c>
      <c r="BJ36" s="192" t="str">
        <f ca="1">IF(BI36="","",IF(OR(WeitsprungResultat[[#This Row],[Resultat]]=Stammdaten!$AX$22,WeitsprungResultat[[#This Row],[Resultat]]=Stammdaten!$AX$19),Stammdaten!$AX$19,IF(ISNA(INDEX(INDIRECT(BI36),MATCH(WeitsprungGerundet[[#This Row],[Rundung]],INDIRECT(BI36),BI$18))),IF(BI$18=-1,LARGE(INDIRECT(BI36),1),SMALL(INDIRECT(BI36),1)),INDEX(INDIRECT(BI36),MATCH(WeitsprungGerundet[[#This Row],[Rundung]],INDIRECT(BI36),BI$18)))))</f>
        <v/>
      </c>
      <c r="BL36" s="18" t="str">
        <f ca="1">IF(WeitsprungSkalawert[[#This Row],[Skala-Wert]]="","",REPLACE(INDEX(StdDisziplinen[TabÜberschriftNote],BE$3),FIND("X",INDEX(StdDisziplinen[TabÜberschriftNote],BE$3),1),2,BH36))</f>
        <v/>
      </c>
      <c r="BM36" s="31" t="str">
        <f ca="1">IF(OR(BL36="",WeitsprungSkalawert[[#This Row],[Skala-Wert]]=Stammdaten!$AX$19),"",INDEX(INDIRECT(BL36),MATCH(WeitsprungSkalawert[[#This Row],[Skala-Wert]],INDIRECT(BI36),0)))</f>
        <v/>
      </c>
      <c r="BN36" s="31"/>
      <c r="BO36" s="37"/>
      <c r="BP36" s="190"/>
      <c r="BQ36" s="154">
        <f>IF(BQ$16,IF(BR$16=0.5,MROUND(BallwurfResultat[[#This Row],[Resultat]],BR$16),ROUND(BallwurfResultat[[#This Row],[Resultat]],BR$16)),ROUNDDOWN(BallwurfResultat[[#This Row],[Resultat]],BR$16))</f>
        <v>0</v>
      </c>
      <c r="BR36" s="191" t="str">
        <f>IF(OR(Geschlecht[[#This Row],[Geschlecht (Skala)]]="",BO$16=""),"",MID(Geschlecht[[#This Row],[Geschlecht (Skala)]],1,1)&amp;MID(BO$16,1,1))</f>
        <v/>
      </c>
      <c r="BS36" s="190" t="str">
        <f>IF(OR(BR36="",BallwurfResultat[[#This Row],[Resultat]]=""),"",REPLACE(INDEX(StdDisziplinen[TabÜberschriftResultat],BO$3),FIND("X",INDEX(StdDisziplinen[TabÜberschriftResultat],BO$3),1),2,BR36))</f>
        <v/>
      </c>
      <c r="BT36" s="45" t="str">
        <f ca="1">IF(BS36="","",IF(OR(BallwurfResultat[[#This Row],[Resultat]]=Stammdaten!$AX$22,BallwurfResultat[[#This Row],[Resultat]]=Stammdaten!$AX$19),Stammdaten!$AX$19,IF(ISNA(INDEX(INDIRECT(BS36),MATCH(BallwurfGerundet[[#This Row],[Rundung]],INDIRECT(BS36),BS$18))),IF(BS$18=-1,LARGE(INDIRECT(BS36),1),SMALL(INDIRECT(BS36),1)),INDEX(INDIRECT(BS36),MATCH(BallwurfGerundet[[#This Row],[Rundung]],INDIRECT(BS36),BS$18)))))</f>
        <v/>
      </c>
      <c r="BV36" s="18" t="str">
        <f ca="1">IF(BallwurfSkalawert[[#This Row],[Skala-Wert]]="","",REPLACE(INDEX(StdDisziplinen[TabÜberschriftNote],BO$3),FIND("X",INDEX(StdDisziplinen[TabÜberschriftNote],BO$3),1),2,BR36))</f>
        <v/>
      </c>
      <c r="BW36" s="31" t="str">
        <f ca="1">IF(OR(BV36="",BallwurfSkalawert[[#This Row],[Skala-Wert]]=Stammdaten!$AX$19),"",INDEX(INDIRECT(BV36),MATCH(BallwurfSkalawert[[#This Row],[Skala-Wert]],INDIRECT(BS36),0)))</f>
        <v/>
      </c>
      <c r="BX36" s="31"/>
      <c r="BY36" s="598"/>
      <c r="BZ36" s="190"/>
      <c r="CA36" s="154">
        <f>IF(CA$16,IF(CB$16=0.5,MROUND(KugelstossenResultat[[#This Row],[Resultat]],CB$16),ROUND(KugelstossenResultat[[#This Row],[Resultat]],CB$16)),ROUNDDOWN(KugelstossenResultat[[#This Row],[Resultat]],CB$16))</f>
        <v>0</v>
      </c>
      <c r="CB36" s="191" t="str">
        <f>IF(OR(Geschlecht[[#This Row],[Geschlecht (Skala)]]="",BY$16=""),"",MID(Geschlecht[[#This Row],[Geschlecht (Skala)]],1,1)&amp;MID(BY$16,1,1))</f>
        <v/>
      </c>
      <c r="CC36" s="190" t="str">
        <f>IF(OR(CB36="",KugelstossenResultat[[#This Row],[Resultat]]=""),"",REPLACE(INDEX(StdDisziplinen[TabÜberschriftResultat],BY$3),FIND("X",INDEX(StdDisziplinen[TabÜberschriftResultat],BY$3),1),2,CB36))</f>
        <v/>
      </c>
      <c r="CD36" s="45" t="str">
        <f ca="1">IF(CC36="","",IF(OR(KugelstossenResultat[[#This Row],[Resultat]]=Stammdaten!$AX$22,KugelstossenResultat[[#This Row],[Resultat]]=Stammdaten!$AX$19),Stammdaten!$AX$19,IF(ISNA(INDEX(INDIRECT(CC36),MATCH(KugelstossenGerundet[[#This Row],[Rundung]],INDIRECT(CC36),CC$18))),IF(CC$18=-1,LARGE(INDIRECT(CC36),1),SMALL(INDIRECT(CC36),1)),INDEX(INDIRECT(CC36),MATCH(KugelstossenGerundet[[#This Row],[Rundung]],INDIRECT(CC36),CC$18)))))</f>
        <v/>
      </c>
      <c r="CF36" s="18" t="str">
        <f ca="1">IF(KugelstossenSkalawert[[#This Row],[Skala-Wert]]="","",REPLACE(INDEX(StdDisziplinen[TabÜberschriftNote],BY$3),FIND("X",INDEX(StdDisziplinen[TabÜberschriftNote],BY$3),1),2,CB36))</f>
        <v/>
      </c>
      <c r="CG36" s="31" t="str">
        <f ca="1">IF(OR(CF36="",KugelstossenSkalawert[[#This Row],[Skala-Wert]]=Stammdaten!$AX$19),"",INDEX(INDIRECT(CF36),MATCH(KugelstossenSkalawert[[#This Row],[Skala-Wert]],INDIRECT(CC36),0)))</f>
        <v/>
      </c>
      <c r="CH36" s="31"/>
      <c r="CI36" s="37"/>
      <c r="CJ36" s="190"/>
      <c r="CK36" s="154">
        <f>IF(CK$16,IF(CL$16=0.5,MROUND(SpeerwurfResultat[[#This Row],[Resultat]],CL$16),ROUND(SpeerwurfResultat[[#This Row],[Resultat]],CL$16)),ROUNDDOWN(SpeerwurfResultat[[#This Row],[Resultat]],CL$16))</f>
        <v>0</v>
      </c>
      <c r="CL36" s="191" t="str">
        <f>IF(OR(Geschlecht[[#This Row],[Geschlecht (Skala)]]="",CI$16=""),"",MID(Geschlecht[[#This Row],[Geschlecht (Skala)]],1,1)&amp;MID(CI$16,1,1))</f>
        <v/>
      </c>
      <c r="CM36" s="190" t="str">
        <f>IF(OR(CL36="",SpeerwurfResultat[[#This Row],[Resultat]]=""),"",REPLACE(INDEX(StdDisziplinen[TabÜberschriftResultat],CI$3),FIND("X",INDEX(StdDisziplinen[TabÜberschriftResultat],CI$3),1),2,CL36))</f>
        <v/>
      </c>
      <c r="CN36" s="45" t="str">
        <f ca="1">IF(CM36="","",IF(OR(SpeerwurfResultat[[#This Row],[Resultat]]=Stammdaten!$AX$22,SpeerwurfResultat[[#This Row],[Resultat]]=Stammdaten!$AX$19),Stammdaten!$AX$19,IF(ISNA(INDEX(INDIRECT(CM36),MATCH(SpeerwurfGerundet[[#This Row],[Rundung]],INDIRECT(CM36),CM$18))),IF(CM$18=-1,LARGE(INDIRECT(CM36),1),SMALL(INDIRECT(CM36),1)),INDEX(INDIRECT(CM36),MATCH(SpeerwurfGerundet[[#This Row],[Rundung]],INDIRECT(CM36),CM$18)))))</f>
        <v/>
      </c>
      <c r="CP36" s="18" t="str">
        <f ca="1">IF(SpeerwurfSkalawert[[#This Row],[Skala-Wert]]="","",REPLACE(INDEX(StdDisziplinen[TabÜberschriftNote],CI$3),FIND("X",INDEX(StdDisziplinen[TabÜberschriftNote],CI$3),1),2,CL36))</f>
        <v/>
      </c>
      <c r="CQ36" s="31" t="str">
        <f ca="1">IF(OR(CP36="",SpeerwurfSkalawert[[#This Row],[Skala-Wert]]=Stammdaten!$AX$19),"",INDEX(INDIRECT(CP36),MATCH(SpeerwurfSkalawert[[#This Row],[Skala-Wert]],INDIRECT(CM36),0)))</f>
        <v/>
      </c>
      <c r="CR36" s="31"/>
      <c r="CS36" s="31" t="str">
        <f t="shared" ca="1" si="50"/>
        <v/>
      </c>
      <c r="CT36" s="31" t="str">
        <f t="shared" ca="1" si="50"/>
        <v/>
      </c>
      <c r="CU36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Row],[Skala-Wert]])&gt;0,MAX(CS36:CT36),99))</f>
        <v>Keine Note</v>
      </c>
      <c r="CV36" s="202" t="str">
        <f t="shared" ca="1" si="51"/>
        <v/>
      </c>
      <c r="CW36" s="202" t="str">
        <f ca="1">IF(CV36=$A$2,CS$10&amp;Stammdaten!$AX$25,IF(CU36=INDEX(StdFehler[],3),CS$10&amp;Stammdaten!$AX$27,INDEX(INDIRECT($B$4),MATCH(CV36,INDIRECT($B$5),0))))</f>
        <v>Sprintdisziplinen nicht durchgeführt</v>
      </c>
      <c r="CX36" s="202" t="str">
        <f ca="1">IFERROR(INDEX(INDIRECT(CX$12),MATCH(CV36,StdDisziplinen[ID],0)),"")</f>
        <v/>
      </c>
      <c r="CY36" s="202" t="e">
        <f t="shared" ca="1" si="52"/>
        <v>#N/A</v>
      </c>
      <c r="CZ36" s="202" t="e">
        <f t="shared" ca="1" si="53"/>
        <v>#N/A</v>
      </c>
      <c r="DA36" s="98" t="str">
        <f t="shared" ca="1" si="223"/>
        <v/>
      </c>
      <c r="DB36" s="202" t="e">
        <f t="shared" ca="1" si="54"/>
        <v>#N/A</v>
      </c>
      <c r="DC36" s="202" t="str">
        <f t="shared" ca="1" si="55"/>
        <v/>
      </c>
      <c r="DD36" s="31" t="str">
        <f t="shared" ca="1" si="56"/>
        <v/>
      </c>
      <c r="DE36" s="31" t="str">
        <f t="shared" ca="1" si="56"/>
        <v/>
      </c>
      <c r="DF36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Row],[Skala-Wert]])&gt;0,MAX(DD36:DE36),99))</f>
        <v>Keine Note</v>
      </c>
      <c r="DG36" s="202" t="str">
        <f t="shared" ca="1" si="57"/>
        <v/>
      </c>
      <c r="DH36" s="202" t="str">
        <f ca="1">IF(DG36=$A$2,DD$10&amp;Stammdaten!$AX$25,IF(DF36=INDEX(StdFehler[],3),DD$10&amp;Stammdaten!$AX$27,INDEX(INDIRECT($B$4),MATCH(DG36,INDIRECT($B$5),0))))</f>
        <v>Ausdauerdisziplinen nicht durchgeführt</v>
      </c>
      <c r="DI36" s="202" t="str">
        <f ca="1">IFERROR(INDEX(INDIRECT(DI$12),MATCH(DG36,StdDisziplinen[ID],0)),"")</f>
        <v/>
      </c>
      <c r="DJ36" s="202" t="e">
        <f t="shared" ca="1" si="58"/>
        <v>#N/A</v>
      </c>
      <c r="DK36" s="202" t="e">
        <f t="shared" ca="1" si="59"/>
        <v>#N/A</v>
      </c>
      <c r="DL36" s="96" t="str">
        <f t="shared" ca="1" si="60"/>
        <v/>
      </c>
      <c r="DM36" s="202" t="e">
        <f t="shared" ca="1" si="61"/>
        <v>#N/A</v>
      </c>
      <c r="DN36" s="202" t="str">
        <f t="shared" ca="1" si="62"/>
        <v/>
      </c>
      <c r="DO36" s="31" t="str">
        <f t="shared" ca="1" si="63"/>
        <v/>
      </c>
      <c r="DP36" s="31" t="str">
        <f t="shared" ca="1" si="63"/>
        <v/>
      </c>
      <c r="DQ36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Row],[Skala-Wert]])&gt;0,MAX(DO36:DP36),99))</f>
        <v>Keine Note</v>
      </c>
      <c r="DR36" s="202" t="str">
        <f t="shared" ca="1" si="64"/>
        <v/>
      </c>
      <c r="DS36" s="202" t="str">
        <f ca="1">IF(DR36=$A$2,DO$10&amp;Stammdaten!$AX$25,IF(DQ36=INDEX(StdFehler[],3),DO$10&amp;Stammdaten!$AX$27,INDEX(INDIRECT($B$4),MATCH(DR36,INDIRECT($B$5),0))))</f>
        <v>Sprungdisziplinen nicht durchgeführt</v>
      </c>
      <c r="DT36" s="202" t="str">
        <f ca="1">IFERROR(INDEX(INDIRECT(DT$12),MATCH(DR36,StdDisziplinen[ID],0)),"")</f>
        <v/>
      </c>
      <c r="DU36" s="202" t="e">
        <f t="shared" ca="1" si="65"/>
        <v>#N/A</v>
      </c>
      <c r="DV36" s="202" t="e">
        <f t="shared" ca="1" si="66"/>
        <v>#N/A</v>
      </c>
      <c r="DW36" s="202" t="str">
        <f t="shared" ca="1" si="67"/>
        <v/>
      </c>
      <c r="DX36" s="202" t="e">
        <f t="shared" ca="1" si="68"/>
        <v>#N/A</v>
      </c>
      <c r="DY36" s="202" t="str">
        <f t="shared" ca="1" si="69"/>
        <v/>
      </c>
      <c r="DZ36" s="31" t="str">
        <f ca="1">IF(BallwurfSkalawert[[#This Row],[Skala-Wert]]=$A$3,$A$2,IF(ISNUMBER(BallwurfSkalawert[[#This Row],[Skala-Wert]]),BallwurfNote[[#This Row],[Note]],"!"))</f>
        <v>!</v>
      </c>
      <c r="EA36" s="31" t="str">
        <f ca="1">IF(KugelstossenSkalawert[[#This Row],[Skala-Wert]]=$A$3,$A$2,IF(ISNUMBER(KugelstossenSkalawert[[#This Row],[Skala-Wert]]),KugelstossenNote[[#This Row],[Note]],"!"))</f>
        <v>!</v>
      </c>
      <c r="EB36" s="31" t="str">
        <f ca="1">IF(SpeerwurfSkalawert[[#This Row],[Skala-Wert]]=$A$3,$A$2,IF(ISNUMBER(SpeerwurfSkalawert[[#This Row],[Skala-Wert]]),SpeerwurfNote[[#This Row],[Note]],"!"))</f>
        <v>!</v>
      </c>
      <c r="EC36" s="95" t="str">
        <f ca="1">IF(ED36&gt;0,MAX(DZ36:EB36),IF(EE36&gt;0,99,INDEX(StdFehler[StdFehler],3)))</f>
        <v>Keine Note</v>
      </c>
      <c r="ED36" s="202">
        <f t="shared" ca="1" si="70"/>
        <v>0</v>
      </c>
      <c r="EE36" s="202">
        <f t="shared" ca="1" si="71"/>
        <v>0</v>
      </c>
      <c r="EF36" s="202" t="str">
        <f t="shared" ca="1" si="72"/>
        <v/>
      </c>
      <c r="EG36" s="202" t="str">
        <f ca="1">IF(EF36=$A$2,DZ$10&amp;Stammdaten!$AX$25,IF(EC36=INDEX(StdFehler[],3),DZ$10&amp;Stammdaten!$AX$27,INDEX(INDIRECT($B$4),MATCH(EF36,INDIRECT($B$5),0))))</f>
        <v>Wurfdisziplinen nicht durchgeführt</v>
      </c>
      <c r="EH36" s="202" t="str">
        <f ca="1">IFERROR(INDEX(INDIRECT(EH$12),MATCH(EF36,StdDisziplinen[ID],0)),"")</f>
        <v/>
      </c>
      <c r="EI36" s="202" t="e">
        <f t="shared" ca="1" si="73"/>
        <v>#N/A</v>
      </c>
      <c r="EJ36" s="202" t="e">
        <f t="shared" ca="1" si="74"/>
        <v>#N/A</v>
      </c>
      <c r="EK36" s="98" t="str">
        <f t="shared" ca="1" si="75"/>
        <v/>
      </c>
      <c r="EL36" s="202" t="e">
        <f t="shared" ca="1" si="76"/>
        <v>#N/A</v>
      </c>
      <c r="EM36" s="202" t="str">
        <f t="shared" ca="1" si="77"/>
        <v/>
      </c>
      <c r="EN36" s="200">
        <f t="shared" ca="1" si="1"/>
        <v>0</v>
      </c>
      <c r="EO36" s="202">
        <f t="shared" ca="1" si="78"/>
        <v>0</v>
      </c>
      <c r="EP36" s="96">
        <f t="shared" ca="1" si="2"/>
        <v>0</v>
      </c>
      <c r="EQ36" s="96">
        <f t="shared" ca="1" si="3"/>
        <v>0</v>
      </c>
      <c r="ER36" s="96">
        <f t="shared" ca="1" si="4"/>
        <v>0</v>
      </c>
      <c r="ES36" s="96">
        <f t="shared" ca="1" si="5"/>
        <v>0</v>
      </c>
      <c r="ET36" s="202">
        <f t="shared" ca="1" si="79"/>
        <v>0</v>
      </c>
      <c r="EU36" s="202" t="str">
        <f ca="1">IF($EO36=$FA$4,Stammdaten!$AX$19,IF(COUNTIF($EP36:$ES36,0)&lt;&gt;0,INDEX(StdFehler[StdFehler],4),ROUND(SUM($ET36/$EN36)/$FC$4,0)*$FC$4))</f>
        <v>Zu wenige Noten</v>
      </c>
      <c r="EV36" s="202" t="str">
        <f t="shared" ca="1" si="6"/>
        <v>Zu wenige Noten</v>
      </c>
      <c r="EW36" s="202" t="str">
        <f t="shared" ca="1" si="80"/>
        <v>Zu wenige Noten</v>
      </c>
      <c r="EX36" s="202" t="str">
        <f t="shared" ca="1" si="80"/>
        <v>Zu wenige Noten</v>
      </c>
      <c r="EY36" s="202" t="str">
        <f t="shared" ca="1" si="80"/>
        <v>Zu wenige Noten</v>
      </c>
      <c r="EZ36" s="202" t="str">
        <f t="shared" ca="1" si="81"/>
        <v>Zu wenige Noten</v>
      </c>
      <c r="FA36" s="202" t="str">
        <f t="shared" ca="1" si="82"/>
        <v>Zu wenige Noten</v>
      </c>
      <c r="FB36" s="31"/>
      <c r="FC36" s="56" t="str">
        <f t="shared" ca="1" si="83"/>
        <v>Zu wenige Noten</v>
      </c>
      <c r="FD36" s="31"/>
      <c r="FE36" s="597"/>
      <c r="FF36" s="190"/>
      <c r="FJ36" s="31"/>
      <c r="FK36" s="597"/>
      <c r="FL36" s="190"/>
      <c r="FP36" s="31"/>
      <c r="FQ36" s="597"/>
      <c r="FR36" s="190"/>
      <c r="FV36" s="31"/>
      <c r="FW36" s="597"/>
      <c r="FX36" s="190"/>
      <c r="GB36" s="31"/>
      <c r="GC36" s="597"/>
      <c r="GD36" s="190"/>
      <c r="GF36" s="154"/>
      <c r="GH36" s="31"/>
      <c r="GI36" s="597"/>
      <c r="GJ36" s="190"/>
      <c r="GN36" s="45"/>
      <c r="GO36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6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6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6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6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6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6" s="202">
        <f t="shared" si="7"/>
        <v>0</v>
      </c>
      <c r="GV36" s="202">
        <f t="shared" si="8"/>
        <v>0</v>
      </c>
      <c r="GW36" s="202">
        <f t="shared" si="84"/>
        <v>0</v>
      </c>
      <c r="GX36" s="200" t="str">
        <f t="shared" si="85"/>
        <v>!</v>
      </c>
      <c r="GY36" s="200" t="str">
        <f t="shared" si="9"/>
        <v>!</v>
      </c>
      <c r="GZ36" s="200" t="str">
        <f t="shared" si="10"/>
        <v>!</v>
      </c>
      <c r="HA36" s="244" t="str">
        <f t="shared" si="86"/>
        <v>nd</v>
      </c>
      <c r="HB36" s="244" t="str">
        <f t="shared" si="87"/>
        <v>nd</v>
      </c>
      <c r="HC36" s="244" t="str">
        <f t="shared" si="88"/>
        <v>nd</v>
      </c>
      <c r="HD36" s="244" t="str">
        <f t="shared" si="89"/>
        <v>nd</v>
      </c>
      <c r="HE36" s="244" t="str">
        <f t="shared" si="90"/>
        <v>nd</v>
      </c>
      <c r="HF36" s="244" t="str">
        <f t="shared" si="91"/>
        <v>nd</v>
      </c>
      <c r="HG36" s="202" t="b">
        <f t="shared" si="92"/>
        <v>0</v>
      </c>
      <c r="HH36" s="202">
        <f t="shared" si="93"/>
        <v>1</v>
      </c>
      <c r="HI36" s="202">
        <f t="shared" si="94"/>
        <v>0</v>
      </c>
      <c r="HJ36" s="200" t="str">
        <f t="shared" si="95"/>
        <v/>
      </c>
      <c r="HK36" s="200" t="str">
        <f t="shared" si="96"/>
        <v/>
      </c>
      <c r="HL36" s="200">
        <f t="shared" si="97"/>
        <v>0</v>
      </c>
      <c r="HM36" s="202" t="str">
        <f t="shared" si="98"/>
        <v/>
      </c>
      <c r="HN36" s="200" t="str">
        <f t="shared" si="99"/>
        <v/>
      </c>
      <c r="HO36" s="200" t="str">
        <f t="shared" si="100"/>
        <v/>
      </c>
      <c r="HP36" s="200" t="str">
        <f t="shared" si="101"/>
        <v/>
      </c>
      <c r="HQ36" s="242" t="str">
        <f t="shared" si="102"/>
        <v/>
      </c>
      <c r="HR36" s="242" t="str">
        <f t="shared" si="103"/>
        <v/>
      </c>
      <c r="HS36" s="242" t="str">
        <f t="shared" si="104"/>
        <v/>
      </c>
      <c r="HT36" s="242" t="str">
        <f t="shared" ca="1" si="105"/>
        <v>Erstes Gerät</v>
      </c>
      <c r="HU36" s="242" t="str">
        <f ca="1">IF(HT36=$HS$12,Stammdaten!$AY$27,IF(HW36=$A$2,TRIM(Stammdaten!$AX$25),""))</f>
        <v>nicht durchgeführt</v>
      </c>
      <c r="HV36" s="242" t="str">
        <f t="shared" ca="1" si="106"/>
        <v/>
      </c>
      <c r="HW36" s="277" t="str">
        <f t="shared" si="11"/>
        <v/>
      </c>
      <c r="HX36" s="202" t="str">
        <f t="shared" si="107"/>
        <v/>
      </c>
      <c r="HY36" s="202" t="str">
        <f t="shared" ca="1" si="108"/>
        <v/>
      </c>
      <c r="HZ36" s="202" t="str">
        <f t="shared" ca="1" si="109"/>
        <v>StdDisziplinen[MaxTextSt]</v>
      </c>
      <c r="IA36" s="202" t="str">
        <f t="shared" ca="1" si="12"/>
        <v/>
      </c>
      <c r="IB36" s="202" t="b">
        <f t="shared" si="110"/>
        <v>0</v>
      </c>
      <c r="IC36" s="202" t="str">
        <f t="shared" si="111"/>
        <v/>
      </c>
      <c r="ID36" s="202" t="str">
        <f t="shared" si="112"/>
        <v/>
      </c>
      <c r="IE36" s="202" t="str">
        <f t="shared" si="113"/>
        <v/>
      </c>
      <c r="IF36" s="202" t="str">
        <f t="shared" si="114"/>
        <v/>
      </c>
      <c r="IG36" s="242" t="str">
        <f t="shared" si="115"/>
        <v/>
      </c>
      <c r="IH36" s="242" t="str">
        <f t="shared" si="116"/>
        <v/>
      </c>
      <c r="II36" s="242" t="str">
        <f t="shared" ca="1" si="13"/>
        <v>Zweites Gerät</v>
      </c>
      <c r="IJ36" s="242" t="str">
        <f ca="1">IF(II36=$IH$12,Stammdaten!$AY$27,IF(IL36=$A$2,TRIM(Stammdaten!$AX$25),""))</f>
        <v>nicht durchgeführt</v>
      </c>
      <c r="IK36" s="242" t="str">
        <f t="shared" ca="1" si="117"/>
        <v/>
      </c>
      <c r="IL36" s="200" t="str">
        <f t="shared" si="14"/>
        <v/>
      </c>
      <c r="IM36" s="202" t="str">
        <f t="shared" si="118"/>
        <v/>
      </c>
      <c r="IN36" s="202" t="str">
        <f t="shared" ca="1" si="119"/>
        <v/>
      </c>
      <c r="IO36" s="202" t="str">
        <f t="shared" ca="1" si="120"/>
        <v>StdDisziplinen[MaxTextSt]</v>
      </c>
      <c r="IP36" s="202" t="str">
        <f t="shared" ca="1" si="121"/>
        <v/>
      </c>
      <c r="IQ36" s="202" t="b">
        <f t="shared" si="122"/>
        <v>0</v>
      </c>
      <c r="IR36" s="242" t="str">
        <f t="shared" ca="1" si="15"/>
        <v>Drittes Gerät</v>
      </c>
      <c r="IS36" s="242" t="str">
        <f ca="1">IF(IR36=$IR$12,MID(Stammdaten!$AX$27,2,LEN(Stammdaten!$AX$27)),IF(IU36=$A$2,TRIM(Stammdaten!$AX$25),""))</f>
        <v>nicht durchgeführt</v>
      </c>
      <c r="IT36" s="242" t="str">
        <f t="shared" ca="1" si="16"/>
        <v/>
      </c>
      <c r="IU36" s="200" t="str">
        <f t="shared" si="17"/>
        <v/>
      </c>
      <c r="IV36" s="202" t="str">
        <f t="shared" si="123"/>
        <v/>
      </c>
      <c r="IW36" s="202" t="str">
        <f t="shared" ca="1" si="124"/>
        <v/>
      </c>
      <c r="IX36" s="202" t="str">
        <f t="shared" ca="1" si="125"/>
        <v>StdDisziplinen[MaxTextSt]</v>
      </c>
      <c r="IY36" s="202" t="str">
        <f t="shared" ca="1" si="18"/>
        <v/>
      </c>
      <c r="IZ36" s="200" t="str">
        <f>IF(NOT(GW36),INDEX(StdFehler[StdFehler],4),IF(COUNTIF(GX36:GZ36,$A$2)&gt;=$IZ$4,$A$3,SUM(GX36:GZ36)))</f>
        <v>Zu wenige Noten</v>
      </c>
      <c r="JA36" s="31"/>
      <c r="JB36" s="587" t="e">
        <f t="shared" si="19"/>
        <v>#VALUE!</v>
      </c>
      <c r="JC36" s="191" t="str">
        <f>IF(OR(Geschlecht[[#This Row],[Geschlecht (Skala)]]="",IZ36=""),"",MID(Geschlecht[[#This Row],[Geschlecht (Skala)]],1,1)&amp;MID($FE$16,1,1))</f>
        <v/>
      </c>
      <c r="JD36" s="190" t="str">
        <f>IF(OR(JC36="",IZ36=""),"",REPLACE(INDEX(StdDisziplinen[TabÜberschriftResultat],$FE$3),FIND("X",INDEX(StdDisziplinen[TabÜberschriftResultat],$FE$3),1),2,JC36))</f>
        <v/>
      </c>
      <c r="JE36" s="192" t="str">
        <f ca="1">IF(OR(JD36="",IZ36=Stammdaten!$AZ$5),"",IF(OR(IZ36=Stammdaten!$AX$22,IZ36=Stammdaten!$AX$19),Stammdaten!$AX$19,IF(ISNA(INDEX(INDIRECT(JD36),MATCH(GeräteturnenGerundet[[#This Row],[Rundung]],INDIRECT(JD36),$JD$16))),IF($JD$16=-1,LARGE(INDIRECT(JD36),1),SMALL(INDIRECT(JD36),1)),INDEX(INDIRECT(JD36),MATCH(GeräteturnenGerundet[[#This Row],[Rundung]],INDIRECT(JD36),$JD$16)))))</f>
        <v/>
      </c>
      <c r="JG36" s="18" t="str">
        <f ca="1">IF(GeräteturnenSkalawert[[#This Row],[Skala-Wert]]="","",REPLACE(INDEX(StdDisziplinen[TabÜberschriftNote],$FE$3),FIND("X",INDEX(StdDisziplinen[TabÜberschriftNote],$FE$3),1),2,JC36))</f>
        <v/>
      </c>
      <c r="JH36" s="45" t="str">
        <f ca="1">IF(OR(JG36="",GeräteturnenSkalawert[[#This Row],[Skala-Wert]]=Stammdaten!$AX$19),"",INDEX(INDIRECT(JG36),MATCH(GeräteturnenSkalawert[[#This Row],[Skala-Wert]],INDIRECT(JD36),0)))</f>
        <v/>
      </c>
      <c r="JI36" s="31"/>
      <c r="JJ36" s="597"/>
      <c r="JK36" s="190"/>
      <c r="JL36" s="587">
        <f>IF(JL$16,IF(JM$16=0.5,MROUND(ParkourResultat[[#This Row],[Resultat]],JM$16),ROUND(ParkourResultat[[#This Row],[Resultat]],JM$16)),ROUNDDOWN(ParkourResultat[[#This Row],[Resultat]],JM$16))</f>
        <v>0</v>
      </c>
      <c r="JM36" s="191" t="str">
        <f>IF(OR(Geschlecht[[#This Row],[Geschlecht (Skala)]]="",JJ$16=""),"",MID(Geschlecht[[#This Row],[Geschlecht (Skala)]],1,1)&amp;MID(JJ$16,1,1))</f>
        <v/>
      </c>
      <c r="JN36" s="190" t="str">
        <f>IF(OR(JM36="",ParkourResultat[[#This Row],[Resultat]]=""),"",REPLACE(INDEX(StdDisziplinen[TabÜberschriftResultat],JJ$3),FIND("X",INDEX(StdDisziplinen[TabÜberschriftResultat],JJ$3),1),2,JM36))</f>
        <v/>
      </c>
      <c r="JO36" s="192" t="str">
        <f ca="1">IF(JN36="","",IF(OR(ParkourResultat[[#This Row],[Resultat]]=Stammdaten!$AX$22,ParkourResultat[[#This Row],[Resultat]]=Stammdaten!$AX$19),Stammdaten!$AX$19,IF(ISNA(INDEX(INDIRECT(JN36),MATCH(ParkourGerundet[[#This Row],[Rundung]],INDIRECT(JN36),JN$18))),IF(JN$18=-1,LARGE(INDIRECT(JN36),1),SMALL(INDIRECT(JN36),1)),INDEX(INDIRECT(JN36),MATCH(ParkourGerundet[[#This Row],[Rundung]],INDIRECT(JN36),JN$18)))))</f>
        <v/>
      </c>
      <c r="JQ36" s="18" t="str">
        <f ca="1">IF(ParkourSkalawert[[#This Row],[Skala-Wert]]="","",REPLACE(INDEX(StdDisziplinen[TabÜberschriftNote],JJ$3),FIND("X",INDEX(StdDisziplinen[TabÜberschriftNote],JJ$3),1),2,JM36))</f>
        <v/>
      </c>
      <c r="JR36" s="31" t="str">
        <f ca="1">IF(OR(JQ36="",ParkourSkalawert[[#This Row],[Skala-Wert]]=Stammdaten!$AX$19),"",INDEX(INDIRECT(JQ36),MATCH(ParkourSkalawert[[#This Row],[Skala-Wert]],INDIRECT(JN36),0)))</f>
        <v/>
      </c>
      <c r="JS36" s="96"/>
      <c r="JT36" s="47" t="str">
        <f ca="1">IF(OR(ISNUMBER(ParkourSkalawert[[#This Row],[Skala-Wert]]),ParkourSkalawert[[#This Row],[Skala-Wert]]=$A$3),INDEX(INDIRECT($JU$1),MATCH($JJ$3,INDIRECT($B$5),0)),"")</f>
        <v/>
      </c>
      <c r="JU36" s="200" t="str">
        <f t="shared" ca="1" si="126"/>
        <v>StdDisziplinen[MaxTextSt]</v>
      </c>
      <c r="JV36" s="200" t="str">
        <f t="shared" ca="1" si="127"/>
        <v/>
      </c>
      <c r="JW36" s="98">
        <f ca="1">IF(GeräteturnenSkalawert[[#This Row],[Skala-Wert]]=$A$3,$A$2,IF(GeräteturnenNote[[#This Row],[Note]]="",0,GeräteturnenNote[[#This Row],[Note]]))</f>
        <v>0</v>
      </c>
      <c r="JX36" s="96">
        <f ca="1">IF(ParkourSkalawert[[#This Row],[Skala-Wert]]=$A$3,$A$2,IF(ParkourNote[[#This Row],[Note]]="",0,ParkourNote[[#This Row],[Note]]))</f>
        <v>0</v>
      </c>
      <c r="JY36" s="200">
        <f t="shared" ca="1" si="128"/>
        <v>0</v>
      </c>
      <c r="JZ36" s="200">
        <f t="shared" ca="1" si="129"/>
        <v>0</v>
      </c>
      <c r="KA36" s="202">
        <f t="shared" ca="1" si="130"/>
        <v>0</v>
      </c>
      <c r="KB36" s="98" t="str">
        <f t="shared" ca="1" si="20"/>
        <v>!</v>
      </c>
      <c r="KC36" s="98" t="str">
        <f t="shared" ca="1" si="21"/>
        <v>!</v>
      </c>
      <c r="KD36" s="202" t="str">
        <f ca="1">IF(NOT(KA36),INDEX(StdFehler[StdFehler],4),IF(JZ36=$KA$12,$A$3,IF(JW36=$A$2,JX36,IF(JX36=$A$2,JW36,CONCATENATE(JW36,", ",JX36)))))</f>
        <v>Zu wenige Noten</v>
      </c>
      <c r="KE36" s="202" t="str">
        <f t="shared" ca="1" si="131"/>
        <v>Zu wenige Noten</v>
      </c>
      <c r="KF36" s="31"/>
      <c r="KG36" s="56" t="str">
        <f ca="1">IF(NOT(KA36),INDEX(StdFehler[StdFehler],4),IF(JZ36=$KA$12,$A$3,ROUND(AVERAGE(KB36:KC36)/$KG$4,0)*$KG$4))</f>
        <v>Zu wenige Noten</v>
      </c>
      <c r="KH36" s="31"/>
      <c r="KI36" s="599"/>
      <c r="KJ36" s="190"/>
      <c r="KK36" s="586">
        <f>IF(KK$16,IF(KL$16=0.5,MROUND(TanzenResultat[[#This Row],[Resultat]],KL$16),ROUND(TanzenResultat[[#This Row],[Resultat]],KL$16)),ROUNDDOWN(TanzenResultat[[#This Row],[Resultat]],KL$16))</f>
        <v>0</v>
      </c>
      <c r="KL36" s="191" t="str">
        <f>IF(OR(Geschlecht[[#This Row],[Geschlecht (Skala)]]="",KI$16=""),"",MID(Geschlecht[[#This Row],[Geschlecht (Skala)]],1,1)&amp;MID(KI$16,1,1))</f>
        <v/>
      </c>
      <c r="KM36" s="190" t="str">
        <f>IF(OR(KL36="",TanzenResultat[[#This Row],[Resultat]]=""),"",REPLACE(INDEX(StdDisziplinen[TabÜberschriftResultat],KI$3),FIND("X",INDEX(StdDisziplinen[TabÜberschriftResultat],KI$3),1),2,KL36))</f>
        <v/>
      </c>
      <c r="KN36" s="31" t="str">
        <f ca="1">IF(KM36="","",IF(OR(TanzenResultat[[#This Row],[Resultat]]=Stammdaten!$AX$22,TanzenResultat[[#This Row],[Resultat]]=Stammdaten!$AX$19),Stammdaten!$AX$19,IF(ISNA(INDEX(INDIRECT(KM36),MATCH(TanzenGerundet[[#This Row],[Rundung]],INDIRECT(KM36),KM$18))),IF(KM$18=-1,LARGE(INDIRECT(KM36),1),SMALL(INDIRECT(KM36),1)),INDEX(INDIRECT(KM36),MATCH(TanzenGerundet[[#This Row],[Rundung]],INDIRECT(KM36),KM$18)))))</f>
        <v/>
      </c>
      <c r="KP36" s="18" t="str">
        <f ca="1">IF(TanzenSkalawert[[#This Row],[Skala-Wert]]="","",REPLACE(INDEX(StdDisziplinen[TabÜberschriftNote],KI$3),FIND("X",INDEX(StdDisziplinen[TabÜberschriftNote],KI$3),1),2,KL36))</f>
        <v/>
      </c>
      <c r="KQ36" s="45" t="str">
        <f ca="1">IF(OR(KP36="",TanzenSkalawert[[#This Row],[Skala-Wert]]=Stammdaten!$AX$19),"",INDEX(INDIRECT(KP36),MATCH(TanzenSkalawert[[#This Row],[Skala-Wert]],INDIRECT(KM36),0)))</f>
        <v/>
      </c>
      <c r="KR36" s="31"/>
      <c r="KS36" s="597"/>
      <c r="KT36" s="190"/>
      <c r="KU36" s="587">
        <f>IF(KU$16,IF(KV$16=0.5,MROUND(RopeSkippingResultat[[#This Row],[Resultat]],KV$16),ROUND(RopeSkippingResultat[[#This Row],[Resultat]],KV$16)),ROUNDDOWN(RopeSkippingResultat[[#This Row],[Resultat]],KV$16))</f>
        <v>0</v>
      </c>
      <c r="KV36" s="191" t="str">
        <f>IF(OR(Geschlecht[[#This Row],[Geschlecht (Skala)]]="",KS$16=""),"",MID(Geschlecht[[#This Row],[Geschlecht (Skala)]],1,1)&amp;MID(KS$16,1,1))</f>
        <v/>
      </c>
      <c r="KW36" s="190" t="str">
        <f>IF(OR(KV36="",RopeSkippingResultat[[#This Row],[Resultat]]=""),"",REPLACE(INDEX(StdDisziplinen[TabÜberschriftResultat],KS$3),FIND("X",INDEX(StdDisziplinen[TabÜberschriftResultat],KS$3),1),2,KV36))</f>
        <v/>
      </c>
      <c r="KX36" s="192" t="str">
        <f ca="1">IF(KW36="","",IF(OR(RopeSkippingResultat[[#This Row],[Resultat]]=Stammdaten!$AX$22,RopeSkippingResultat[[#This Row],[Resultat]]=Stammdaten!$AX$19),Stammdaten!$AX$19,IF(ISNA(INDEX(INDIRECT(KW36),MATCH(RopeSkippingGerundet[[#This Row],[Rundung]],INDIRECT(KW36),KW$18))),IF(KW$18=-1,LARGE(INDIRECT(KW36),1),SMALL(INDIRECT(KW36),1)),INDEX(INDIRECT(KW36),MATCH(RopeSkippingGerundet[[#This Row],[Rundung]],INDIRECT(KW36),KW$18)))))</f>
        <v/>
      </c>
      <c r="KZ36" s="18" t="str">
        <f ca="1">IF(RopeSkippingSkalawert[[#This Row],[Skala-Wert]]="","",REPLACE(INDEX(StdDisziplinen[TabÜberschriftNote],KS$3),FIND("X",INDEX(StdDisziplinen[TabÜberschriftNote],KS$3),1),2,KV36))</f>
        <v/>
      </c>
      <c r="LA36" s="45" t="str">
        <f ca="1">IF(OR(KZ36="",RopeSkippingSkalawert[[#This Row],[Skala-Wert]]=Stammdaten!$AX$19),"",INDEX(INDIRECT(KZ36),MATCH(RopeSkippingSkalawert[[#This Row],[Skala-Wert]],INDIRECT(KW36),0)))</f>
        <v/>
      </c>
      <c r="LB36" s="31"/>
      <c r="LC36" s="599"/>
      <c r="LD36" s="190"/>
      <c r="LE36" s="586">
        <f>IF(LE$16,IF(LF$16=0.5,MROUND(AerobicResultat[[#This Row],[Resultat]],LF$16),ROUND(AerobicResultat[[#This Row],[Resultat]],LF$16)),ROUNDDOWN(AerobicResultat[[#This Row],[Resultat]],LF$16))</f>
        <v>0</v>
      </c>
      <c r="LF36" s="191" t="str">
        <f>IF(OR(Geschlecht[[#This Row],[Geschlecht (Skala)]]="",LC$16=""),"",MID(Geschlecht[[#This Row],[Geschlecht (Skala)]],1,1)&amp;MID(LC$16,1,1))</f>
        <v/>
      </c>
      <c r="LG36" s="190" t="str">
        <f>IF(OR(LF36="",AerobicResultat[[#This Row],[Resultat]]=""),"",REPLACE(INDEX(StdDisziplinen[TabÜberschriftResultat],LC$3),FIND("X",INDEX(StdDisziplinen[TabÜberschriftResultat],LC$3),1),2,LF36))</f>
        <v/>
      </c>
      <c r="LH36" s="31" t="str">
        <f ca="1">IF(LG36="","",IF(OR(AerobicResultat[[#This Row],[Resultat]]=Stammdaten!$AX$22,AerobicResultat[[#This Row],[Resultat]]=Stammdaten!$AX$19),Stammdaten!$AX$19,IF(ISNA(INDEX(INDIRECT(LG36),MATCH(AerobicGerundet[[#This Row],[Rundung]],INDIRECT(LG36),LG$18))),IF(LG$18=-1,LARGE(INDIRECT(LG36),1),SMALL(INDIRECT(LG36),1)),INDEX(INDIRECT(LG36),MATCH(AerobicGerundet[[#This Row],[Rundung]],INDIRECT(LG36),LG$18)))))</f>
        <v/>
      </c>
      <c r="LJ36" s="18" t="str">
        <f ca="1">IF(AerobicSkalawert[[#This Row],[Skala-Wert]]="","",REPLACE(INDEX(StdDisziplinen[TabÜberschriftNote],LC$3),FIND("X",INDEX(StdDisziplinen[TabÜberschriftNote],LC$3),1),2,LF36))</f>
        <v/>
      </c>
      <c r="LK36" s="45" t="str">
        <f ca="1">IF(OR(LJ36="",AerobicSkalawert[[#This Row],[Skala-Wert]]=Stammdaten!$AX$19),"",INDEX(INDIRECT(LJ36),MATCH(AerobicSkalawert[[#This Row],[Skala-Wert]],INDIRECT(LG36),0)))</f>
        <v/>
      </c>
      <c r="LL36" s="31"/>
      <c r="LM36" s="45" t="str">
        <f ca="1">IF(TanzenSkalawert[[#This Row],[Skala-Wert]]=$A$3,$A$2,IF(ISNUMBER(TanzenSkalawert[[#This Row],[Skala-Wert]]),TanzenNote[[#This Row],[Note]],"!"))</f>
        <v>!</v>
      </c>
      <c r="LN36" s="45" t="str">
        <f ca="1">IF(RopeSkippingSkalawert[[#This Row],[Skala-Wert]]=$A$3,$A$2,IF(ISNUMBER(RopeSkippingSkalawert[[#This Row],[Skala-Wert]]),RopeSkippingNote[[#This Row],[Note]],"!"))</f>
        <v>!</v>
      </c>
      <c r="LO36" s="45" t="str">
        <f ca="1">IF(AerobicSkalawert[[#This Row],[Skala-Wert]]=$A$3,$A$2,IF(ISNUMBER(AerobicSkalawert[[#This Row],[Skala-Wert]]),AerobicNote[[#This Row],[Note]],"!"))</f>
        <v>!</v>
      </c>
      <c r="LP36" s="36">
        <f t="shared" ca="1" si="132"/>
        <v>0</v>
      </c>
      <c r="LQ36" s="36">
        <f t="shared" ca="1" si="133"/>
        <v>0</v>
      </c>
      <c r="LR36" s="244" t="str">
        <f t="shared" ca="1" si="22"/>
        <v>nd</v>
      </c>
      <c r="LS36" s="244" t="str">
        <f t="shared" ca="1" si="23"/>
        <v>nd</v>
      </c>
      <c r="LT36" s="244" t="str">
        <f t="shared" ca="1" si="24"/>
        <v>nd</v>
      </c>
      <c r="LU36" s="242" t="str">
        <f t="shared" ca="1" si="25"/>
        <v/>
      </c>
      <c r="LV36" s="242" t="str">
        <f t="shared" ca="1" si="134"/>
        <v/>
      </c>
      <c r="LW36" s="242" t="str">
        <f t="shared" ca="1" si="135"/>
        <v/>
      </c>
      <c r="LX36" s="242" t="str">
        <f ca="1">IF(LW36="",Stammdaten!$AM$4,INDEX(INDIRECT($B$4),MATCH($LW36,INDIRECT($B$5),0)))</f>
        <v>Darstellen und Tanzen</v>
      </c>
      <c r="LY36" s="242" t="str">
        <f ca="1">IF(LW36="",Stammdaten!$AY$27,IF(ISNUMBER(LU36),LX36,IF(ISNUMBER(LV36),TRIM(Stammdaten!$AX$25),"")))</f>
        <v>nicht durchgeführt</v>
      </c>
      <c r="LZ36" s="242" t="str">
        <f t="shared" ca="1" si="136"/>
        <v>Darstellen und Tanzen</v>
      </c>
      <c r="MA36" s="242" t="str">
        <f t="shared" ca="1" si="137"/>
        <v/>
      </c>
      <c r="MB36" s="242" t="str">
        <f t="shared" ca="1" si="26"/>
        <v>Darstellen und TanzenResultat[@Resultat]</v>
      </c>
      <c r="MC36" s="274" t="str">
        <f t="shared" ca="1" si="138"/>
        <v/>
      </c>
      <c r="MD36" s="242" t="str">
        <f t="shared" ca="1" si="139"/>
        <v>Darstellen und TanzenSkalawert[@[Skala-Wert]]</v>
      </c>
      <c r="ME36" s="274" t="str">
        <f t="shared" ca="1" si="140"/>
        <v/>
      </c>
      <c r="MF36" s="47" t="str">
        <f t="shared" ca="1" si="27"/>
        <v/>
      </c>
      <c r="MG36" s="200" t="str">
        <f t="shared" ca="1" si="141"/>
        <v>StdDisziplinen[MaxTextSt]</v>
      </c>
      <c r="MH36" s="200" t="str">
        <f t="shared" ca="1" si="142"/>
        <v/>
      </c>
      <c r="MI36" s="45"/>
      <c r="MJ36" s="98" t="str">
        <f ca="1">IF(LP36&gt;0,MAX(LM36:LO36),IF(LQ36&gt;0,$A$3,INDEX(StdFehler[StdFehler],4)))</f>
        <v>Zu wenige Noten</v>
      </c>
      <c r="MK36" s="45"/>
      <c r="ML36" s="37"/>
      <c r="MM36" s="190"/>
      <c r="MN36" s="586">
        <f>IF(MN$16,IF(MO$16=0.5,MROUND(BasketballResultat[[#This Row],[Resultat]],MO$16),ROUND(BasketballResultat[[#This Row],[Resultat]],MO$16)),ROUNDDOWN(BasketballResultat[[#This Row],[Resultat]],MO$16))</f>
        <v>0</v>
      </c>
      <c r="MO36" s="191" t="str">
        <f>IF(OR(Geschlecht[[#This Row],[Geschlecht (Skala)]]="",ML$16=""),"",MID(Geschlecht[[#This Row],[Geschlecht (Skala)]],1,1)&amp;MID(ML$16,1,1))</f>
        <v/>
      </c>
      <c r="MP36" s="190" t="str">
        <f>IF(OR(MO36="",BasketballResultat[[#This Row],[Resultat]]=""),"",REPLACE(INDEX(StdDisziplinen[TabÜberschriftResultat],ML$3),FIND("X",INDEX(StdDisziplinen[TabÜberschriftResultat],ML$3),1),2,MO36))</f>
        <v/>
      </c>
      <c r="MQ36" s="31" t="str">
        <f ca="1">IF(MP36="","",IF(OR(BasketballResultat[[#This Row],[Resultat]]=Stammdaten!$AX$22,BasketballResultat[[#This Row],[Resultat]]=Stammdaten!$AX$19),Stammdaten!$AX$19,IF(ISNA(INDEX(INDIRECT(MP36),MATCH(BasketballGerundet[[#This Row],[Rundung]],INDIRECT(MP36),MP$18))),IF(MP$18=-1,LARGE(INDIRECT(MP36),1),SMALL(INDIRECT(MP36),1)),INDEX(INDIRECT(MP36),MATCH(BasketballGerundet[[#This Row],[Rundung]],INDIRECT(MP36),MP$18)))))</f>
        <v/>
      </c>
      <c r="MS36" s="18" t="str">
        <f ca="1">IF(BasketballSkalawert[[#This Row],[Skala-Wert]]="","",REPLACE(INDEX(StdDisziplinen[TabÜberschriftNote],ML$3),FIND("X",INDEX(StdDisziplinen[TabÜberschriftNote],ML$3),1),2,MO36))</f>
        <v/>
      </c>
      <c r="MT36" s="31" t="str">
        <f ca="1">IF(OR(MS36="",BasketballSkalawert[[#This Row],[Skala-Wert]]=Stammdaten!$AX$19),"",INDEX(INDIRECT(MS36),MATCH(BasketballSkalawert[[#This Row],[Skala-Wert]],INDIRECT(MP36),0)))</f>
        <v/>
      </c>
      <c r="MU36" s="31"/>
      <c r="MV36" s="37"/>
      <c r="MW36" s="190"/>
      <c r="MX36" s="586">
        <f>IF(MX$16,IF(MY$16=0.5,MROUND(FussballResultat[[#This Row],[Resultat]],MY$16),ROUND(FussballResultat[[#This Row],[Resultat]],MY$16)),ROUNDDOWN(FussballResultat[[#This Row],[Resultat]],MY$16))</f>
        <v>0</v>
      </c>
      <c r="MY36" s="191" t="str">
        <f>IF(OR(Geschlecht[[#This Row],[Geschlecht (Skala)]]="",MV$16=""),"",MID(Geschlecht[[#This Row],[Geschlecht (Skala)]],1,1)&amp;MID(MV$16,1,1))</f>
        <v/>
      </c>
      <c r="MZ36" s="190" t="str">
        <f>IF(OR(MY36="",FussballResultat[[#This Row],[Resultat]]=""),"",REPLACE(INDEX(StdDisziplinen[TabÜberschriftResultat],MV$3),FIND("X",INDEX(StdDisziplinen[TabÜberschriftResultat],MV$3),1),2,MY36))</f>
        <v/>
      </c>
      <c r="NA36" s="31" t="str">
        <f ca="1">IF(MZ36="","",IF(OR(FussballResultat[[#This Row],[Resultat]]=Stammdaten!$AX$22,FussballResultat[[#This Row],[Resultat]]=Stammdaten!$AX$19),Stammdaten!$AX$19,IF(ISNA(INDEX(INDIRECT(MZ36),MATCH(FussballGerundet[[#This Row],[Rundung]],INDIRECT(MZ36),MZ$18))),IF(MZ$18=-1,LARGE(INDIRECT(MZ36),1),SMALL(INDIRECT(MZ36),1)),INDEX(INDIRECT(MZ36),MATCH(FussballGerundet[[#This Row],[Rundung]],INDIRECT(MZ36),MZ$18)))))</f>
        <v/>
      </c>
      <c r="NC36" s="18" t="str">
        <f ca="1">IF(FussballSkalawert[[#This Row],[Skala-Wert]]="","",REPLACE(INDEX(StdDisziplinen[TabÜberschriftNote],MV$3),FIND("X",INDEX(StdDisziplinen[TabÜberschriftNote],MV$3),1),2,MY36))</f>
        <v/>
      </c>
      <c r="ND36" s="31" t="str">
        <f ca="1">IF(OR(NC36="",FussballSkalawert[[#This Row],[Skala-Wert]]=Stammdaten!$AX$19),"",INDEX(INDIRECT(NC36),MATCH(FussballSkalawert[[#This Row],[Skala-Wert]],INDIRECT(MZ36),0)))</f>
        <v/>
      </c>
      <c r="NE36" s="31"/>
      <c r="NF36" s="37"/>
      <c r="NG36" s="190"/>
      <c r="NH36" s="586">
        <f>IF(NH$16,IF(NI$16=0.5,MROUND(HandballResultat[[#This Row],[Resultat]],NI$16),ROUND(HandballResultat[[#This Row],[Resultat]],NI$16)),ROUNDDOWN(HandballResultat[[#This Row],[Resultat]],NI$16))</f>
        <v>0</v>
      </c>
      <c r="NI36" s="191" t="str">
        <f>IF(OR(Geschlecht[[#This Row],[Geschlecht (Skala)]]="",NF$16=""),"",MID(Geschlecht[[#This Row],[Geschlecht (Skala)]],1,1)&amp;MID(NF$16,1,1))</f>
        <v/>
      </c>
      <c r="NJ36" s="190" t="str">
        <f>IF(OR(NI36="",HandballResultat[[#This Row],[Resultat]]=""),"",REPLACE(INDEX(StdDisziplinen[TabÜberschriftResultat],NF$3),FIND("X",INDEX(StdDisziplinen[TabÜberschriftResultat],NF$3),1),2,NI36))</f>
        <v/>
      </c>
      <c r="NK36" s="31" t="str">
        <f ca="1">IF(NJ36="","",IF(OR(HandballResultat[[#This Row],[Resultat]]=Stammdaten!$AX$22,HandballResultat[[#This Row],[Resultat]]=Stammdaten!$AX$19),Stammdaten!$AX$19,IF(ISNA(INDEX(INDIRECT(NJ36),MATCH(HandballGerundet[[#This Row],[Rundung]],INDIRECT(NJ36),NJ$18))),IF(NJ$18=-1,LARGE(INDIRECT(NJ36),1),SMALL(INDIRECT(NJ36),1)),INDEX(INDIRECT(NJ36),MATCH(HandballGerundet[[#This Row],[Rundung]],INDIRECT(NJ36),NJ$18)))))</f>
        <v/>
      </c>
      <c r="NM36" s="18" t="str">
        <f ca="1">IF(HandballSkalawert[[#This Row],[Skala-Wert]]="","",REPLACE(INDEX(StdDisziplinen[TabÜberschriftNote],NF$3),FIND("X",INDEX(StdDisziplinen[TabÜberschriftNote],NF$3),1),2,NI36))</f>
        <v/>
      </c>
      <c r="NN36" s="31" t="str">
        <f ca="1">IF(OR(NM36="",HandballSkalawert[[#This Row],[Skala-Wert]]=Stammdaten!$AX$19),"",INDEX(INDIRECT(NM36),MATCH(HandballSkalawert[[#This Row],[Skala-Wert]],INDIRECT(NJ36),0)))</f>
        <v/>
      </c>
      <c r="NO36" s="31"/>
      <c r="NP36" s="37"/>
      <c r="NQ36" s="190"/>
      <c r="NR36" s="586">
        <f>IF(NR$16,IF(NS$16=0.5,MROUND(UnihockeyResultat[[#This Row],[Resultat]],NS$16),ROUND(UnihockeyResultat[[#This Row],[Resultat]],NS$16)),ROUNDDOWN(UnihockeyResultat[[#This Row],[Resultat]],NS$16))</f>
        <v>0</v>
      </c>
      <c r="NS36" s="191" t="str">
        <f>IF(OR(Geschlecht[[#This Row],[Geschlecht (Skala)]]="",NP$16=""),"",MID(Geschlecht[[#This Row],[Geschlecht (Skala)]],1,1)&amp;MID(NP$16,1,1))</f>
        <v/>
      </c>
      <c r="NT36" s="190" t="str">
        <f>IF(OR(NS36="",UnihockeyResultat[[#This Row],[Resultat]]=""),"",REPLACE(INDEX(StdDisziplinen[TabÜberschriftResultat],NP$3),FIND("X",INDEX(StdDisziplinen[TabÜberschriftResultat],NP$3),1),2,NS36))</f>
        <v/>
      </c>
      <c r="NU36" s="31" t="str">
        <f ca="1">IF(NT36="","",IF(OR(UnihockeyResultat[[#This Row],[Resultat]]=Stammdaten!$AX$22,UnihockeyResultat[[#This Row],[Resultat]]=Stammdaten!$AX$19),Stammdaten!$AX$19,IF(ISNA(INDEX(INDIRECT(NT36),MATCH(UnihockeyGerundet[[#This Row],[Rundung]],INDIRECT(NT36),NT$18))),IF(NT$18=-1,LARGE(INDIRECT(NT36),1),SMALL(INDIRECT(NT36),1)),INDEX(INDIRECT(NT36),MATCH(UnihockeyGerundet[[#This Row],[Rundung]],INDIRECT(NT36),NT$18)))))</f>
        <v/>
      </c>
      <c r="NW36" s="18" t="str">
        <f ca="1">IF(UnihockeySkalawert[[#This Row],[Skala-Wert]]="","",REPLACE(INDEX(StdDisziplinen[TabÜberschriftNote],NP$3),FIND("X",INDEX(StdDisziplinen[TabÜberschriftNote],NP$3),1),2,NS36))</f>
        <v/>
      </c>
      <c r="NX36" s="31" t="str">
        <f ca="1">IF(OR(NW36="",UnihockeySkalawert[[#This Row],[Skala-Wert]]=Stammdaten!$AX$19),"",INDEX(INDIRECT(NW36),MATCH(UnihockeySkalawert[[#This Row],[Skala-Wert]],INDIRECT(NT36),0)))</f>
        <v/>
      </c>
      <c r="NY36" s="31"/>
      <c r="NZ36" s="597"/>
      <c r="OA36" s="190"/>
      <c r="OB36" s="587">
        <f>IF(OB$16,IF(OC$16=0.5,MROUND(VolleyballResultat[[#This Row],[Resultat]],OC$16),ROUND(VolleyballResultat[[#This Row],[Resultat]],OC$16)),ROUNDDOWN(VolleyballResultat[[#This Row],[Resultat]],OC$16))</f>
        <v>0</v>
      </c>
      <c r="OC36" s="191" t="str">
        <f>IF(OR(Geschlecht[[#This Row],[Geschlecht (Skala)]]="",NZ$16=""),"",MID(Geschlecht[[#This Row],[Geschlecht (Skala)]],1,1)&amp;MID(NZ$16,1,1))</f>
        <v/>
      </c>
      <c r="OD36" s="190" t="str">
        <f>IF(OR(OC36="",VolleyballResultat[[#This Row],[Resultat]]=""),"",REPLACE(INDEX(StdDisziplinen[TabÜberschriftResultat],NZ$3),FIND("X",INDEX(StdDisziplinen[TabÜberschriftResultat],NZ$3),1),2,OC36))</f>
        <v/>
      </c>
      <c r="OE36" s="192" t="str">
        <f ca="1">IF(OD36="","",IF(OR(VolleyballResultat[[#This Row],[Resultat]]=Stammdaten!$AX$22,VolleyballResultat[[#This Row],[Resultat]]=Stammdaten!$AX$19),Stammdaten!$AX$19,IF(ISNA(INDEX(INDIRECT(OD36),MATCH(VolleyballGerundet[[#This Row],[Rundung]],INDIRECT(OD36),OD$18))),IF(OD$18=-1,LARGE(INDIRECT(OD36),1),SMALL(INDIRECT(OD36),1)),INDEX(INDIRECT(OD36),MATCH(VolleyballGerundet[[#This Row],[Rundung]],INDIRECT(OD36),OD$18)))))</f>
        <v/>
      </c>
      <c r="OG36" s="18" t="str">
        <f ca="1">IF(VolleyballSkalawert[[#This Row],[Skala-Wert]]="","",REPLACE(INDEX(StdDisziplinen[TabÜberschriftNote],NZ$3),FIND("X",INDEX(StdDisziplinen[TabÜberschriftNote],NZ$3),1),2,OC36))</f>
        <v/>
      </c>
      <c r="OH36" s="31" t="str">
        <f ca="1">IF(OR(OG36="",VolleyballSkalawert[[#This Row],[Skala-Wert]]=Stammdaten!$AX$19),"",INDEX(INDIRECT(OG36),MATCH(VolleyballSkalawert[[#This Row],[Skala-Wert]],INDIRECT(OD36),0)))</f>
        <v/>
      </c>
      <c r="OI36" s="45"/>
      <c r="OJ36" s="31">
        <f ca="1">IF(BasketballSkalawert[[#This Row],[Skala-Wert]]=$A$3,$A$2,IF(BasketballNote[[#This Row],[Note]]="",0,BasketballNote[[#This Row],[Note]]))</f>
        <v>0</v>
      </c>
      <c r="OK36" s="31">
        <f ca="1">IF(FussballSkalawert[[#This Row],[Skala-Wert]]=$A$3,$A$2,IF(FussballNote[[#This Row],[Note]]="",0,FussballNote[[#This Row],[Note]]))</f>
        <v>0</v>
      </c>
      <c r="OL36" s="31">
        <f ca="1">IF(HandballSkalawert[[#This Row],[Skala-Wert]]=$A$3,$A$2,IF(HandballNote[[#This Row],[Note]]="",0,HandballNote[[#This Row],[Note]]))</f>
        <v>0</v>
      </c>
      <c r="OM36" s="31">
        <f ca="1">IF(UnihockeySkalawert[[#This Row],[Skala-Wert]]=$A$3,$A$2,IF(UnihockeyNote[[#This Row],[Note]]="",0,UnihockeyNote[[#This Row],[Note]]))</f>
        <v>0</v>
      </c>
      <c r="ON36" s="31">
        <f ca="1">IF(VolleyballSkalawert[[#This Row],[Skala-Wert]]=$A$3,$A$2,IF(VolleyballNote[[#This Row],[Note]]="",0,VolleyballNote[[#This Row],[Note]]))</f>
        <v>0</v>
      </c>
      <c r="OO36" s="202">
        <f t="shared" ca="1" si="28"/>
        <v>0</v>
      </c>
      <c r="OP36" s="202">
        <f t="shared" ca="1" si="29"/>
        <v>0</v>
      </c>
      <c r="OQ36" s="202">
        <f t="shared" ca="1" si="143"/>
        <v>0</v>
      </c>
      <c r="OR36" s="96" t="str">
        <f t="shared" ca="1" si="144"/>
        <v>!</v>
      </c>
      <c r="OS36" s="96" t="str">
        <f t="shared" ca="1" si="30"/>
        <v>!</v>
      </c>
      <c r="OT36" s="96" t="str">
        <f t="shared" ca="1" si="31"/>
        <v>!</v>
      </c>
      <c r="OU36" s="96" t="str">
        <f ca="1">IF(NOT(OQ36),INDEX(StdFehler[StdFehler],4),IF(COUNTIF(OR36:OT36,$A$2)&gt;=$OQ$13,$A$3,ROUND(AVERAGE(OR36:OT36)/$RX$4,0)*$RX$4))</f>
        <v>Zu wenige Noten</v>
      </c>
      <c r="OV36" s="244" t="str">
        <f t="shared" ca="1" si="145"/>
        <v>nd</v>
      </c>
      <c r="OW36" s="244" t="str">
        <f t="shared" ca="1" si="146"/>
        <v>nd</v>
      </c>
      <c r="OX36" s="244" t="str">
        <f t="shared" ca="1" si="147"/>
        <v>nd</v>
      </c>
      <c r="OY36" s="244" t="str">
        <f t="shared" ca="1" si="148"/>
        <v>nd</v>
      </c>
      <c r="OZ36" s="244" t="str">
        <f t="shared" ca="1" si="149"/>
        <v>nd</v>
      </c>
      <c r="PA36" s="202" t="b">
        <f t="shared" ca="1" si="150"/>
        <v>0</v>
      </c>
      <c r="PB36" s="202">
        <f t="shared" ca="1" si="151"/>
        <v>1</v>
      </c>
      <c r="PC36" s="202">
        <f t="shared" ca="1" si="152"/>
        <v>0</v>
      </c>
      <c r="PD36" s="96" t="str">
        <f t="shared" ca="1" si="153"/>
        <v/>
      </c>
      <c r="PE36" s="96" t="str">
        <f t="shared" ca="1" si="154"/>
        <v/>
      </c>
      <c r="PF36" s="200">
        <f t="shared" ca="1" si="155"/>
        <v>0</v>
      </c>
      <c r="PG36" s="202" t="str">
        <f t="shared" ca="1" si="156"/>
        <v/>
      </c>
      <c r="PH36" s="200" t="str">
        <f t="shared" ca="1" si="157"/>
        <v/>
      </c>
      <c r="PI36" s="200" t="str">
        <f t="shared" ca="1" si="158"/>
        <v/>
      </c>
      <c r="PJ36" s="200" t="str">
        <f t="shared" ca="1" si="159"/>
        <v/>
      </c>
      <c r="PK36" s="242" t="str">
        <f t="shared" ca="1" si="160"/>
        <v/>
      </c>
      <c r="PL36" s="242" t="str">
        <f t="shared" ca="1" si="161"/>
        <v/>
      </c>
      <c r="PM36" s="242" t="str">
        <f t="shared" ca="1" si="162"/>
        <v/>
      </c>
      <c r="PN36" s="242" t="str">
        <f t="shared" ca="1" si="163"/>
        <v>Erste Spielsportart</v>
      </c>
      <c r="PO36" s="242" t="str">
        <f ca="1">IF(PN36=$PM$11,Stammdaten!$AY$27,IF(PR36=$A$2,TRIM(Stammdaten!$AX$25),""))</f>
        <v>nicht durchgeführt</v>
      </c>
      <c r="PP36" s="242" t="str">
        <f t="shared" ca="1" si="164"/>
        <v/>
      </c>
      <c r="PQ36" s="202" t="str">
        <f t="shared" ca="1" si="165"/>
        <v>Erste SpielsportartResultat[@Resultat]</v>
      </c>
      <c r="PR36" s="98" t="str">
        <f t="shared" ca="1" si="166"/>
        <v/>
      </c>
      <c r="PS36" s="202" t="str">
        <f t="shared" ca="1" si="167"/>
        <v/>
      </c>
      <c r="PT36" s="202" t="str">
        <f t="shared" ca="1" si="168"/>
        <v>Erste SpielsportartSkalawert[@[Skala-Wert]]</v>
      </c>
      <c r="PU36" s="98" t="str">
        <f t="shared" ca="1" si="169"/>
        <v/>
      </c>
      <c r="PV36" s="202" t="str">
        <f t="shared" ca="1" si="170"/>
        <v/>
      </c>
      <c r="PW36" s="202" t="str">
        <f t="shared" ca="1" si="171"/>
        <v/>
      </c>
      <c r="PX36" s="202" t="str">
        <f t="shared" ca="1" si="172"/>
        <v>StdDisziplinen[MaxTextSt]</v>
      </c>
      <c r="PY36" s="202" t="str">
        <f t="shared" ca="1" si="173"/>
        <v/>
      </c>
      <c r="PZ36" s="202" t="b">
        <f t="shared" ca="1" si="174"/>
        <v>0</v>
      </c>
      <c r="QA36" s="202" t="str">
        <f t="shared" ca="1" si="175"/>
        <v/>
      </c>
      <c r="QB36" s="202" t="str">
        <f t="shared" ca="1" si="32"/>
        <v/>
      </c>
      <c r="QC36" s="202" t="str">
        <f t="shared" ca="1" si="176"/>
        <v/>
      </c>
      <c r="QD36" s="202" t="str">
        <f t="shared" ca="1" si="177"/>
        <v/>
      </c>
      <c r="QE36" s="242" t="str">
        <f t="shared" ca="1" si="178"/>
        <v/>
      </c>
      <c r="QF36" s="242" t="str">
        <f t="shared" ca="1" si="179"/>
        <v/>
      </c>
      <c r="QG36" s="242" t="str">
        <f t="shared" ca="1" si="180"/>
        <v>Zweite Spielsportart</v>
      </c>
      <c r="QH36" s="242" t="str">
        <f ca="1">IF(QG36=$QF$11,Stammdaten!$AY$27,IF(QK36=$A$2,TRIM(Stammdaten!$AX$25),""))</f>
        <v>nicht durchgeführt</v>
      </c>
      <c r="QI36" s="242" t="str">
        <f t="shared" ca="1" si="181"/>
        <v/>
      </c>
      <c r="QJ36" s="202" t="str">
        <f t="shared" ca="1" si="182"/>
        <v>Zweite SpielsportartResultat[@Resultat]</v>
      </c>
      <c r="QK36" s="98" t="str">
        <f t="shared" ca="1" si="183"/>
        <v/>
      </c>
      <c r="QL36" s="202" t="str">
        <f t="shared" ca="1" si="184"/>
        <v/>
      </c>
      <c r="QM36" s="202" t="str">
        <f t="shared" ca="1" si="185"/>
        <v>Zweite SpielsportartSkalawert[@[Skala-Wert]]</v>
      </c>
      <c r="QN36" s="98" t="str">
        <f t="shared" ca="1" si="186"/>
        <v/>
      </c>
      <c r="QO36" s="202" t="str">
        <f t="shared" ca="1" si="187"/>
        <v/>
      </c>
      <c r="QP36" s="202" t="str">
        <f t="shared" ca="1" si="188"/>
        <v/>
      </c>
      <c r="QQ36" s="202" t="str">
        <f t="shared" ca="1" si="189"/>
        <v>StdDisziplinen[MaxTextSt]</v>
      </c>
      <c r="QR36" s="202" t="str">
        <f t="shared" ca="1" si="190"/>
        <v/>
      </c>
      <c r="QS36" s="202" t="b">
        <f t="shared" ca="1" si="191"/>
        <v>0</v>
      </c>
      <c r="QT36" s="242" t="str">
        <f t="shared" ca="1" si="33"/>
        <v>Dritte Spielsportart</v>
      </c>
      <c r="QU36" s="242" t="str">
        <f ca="1">IF(QT36=$QT$11,MID(Stammdaten!$AX$27,2,LEN(Stammdaten!$AX$27)),IF(QX36=$A$2,TRIM(Stammdaten!$AX$25),""))</f>
        <v>nicht durchgeführt</v>
      </c>
      <c r="QV36" s="242" t="str">
        <f t="shared" ca="1" si="34"/>
        <v/>
      </c>
      <c r="QW36" s="202" t="str">
        <f t="shared" ca="1" si="192"/>
        <v>Dritte SpielsportartResultat[@Resultat]</v>
      </c>
      <c r="QX36" s="98" t="str">
        <f t="shared" ca="1" si="193"/>
        <v/>
      </c>
      <c r="QY36" s="202" t="str">
        <f t="shared" ca="1" si="35"/>
        <v/>
      </c>
      <c r="QZ36" s="202" t="str">
        <f t="shared" ca="1" si="194"/>
        <v>Dritte SpielsportartSkalawert[@[Skala-Wert]]</v>
      </c>
      <c r="RA36" s="98" t="str">
        <f t="shared" ca="1" si="224"/>
        <v/>
      </c>
      <c r="RB36" s="202" t="str">
        <f t="shared" ca="1" si="36"/>
        <v/>
      </c>
      <c r="RC36" s="202" t="str">
        <f t="shared" ca="1" si="196"/>
        <v/>
      </c>
      <c r="RD36" s="202" t="str">
        <f t="shared" ca="1" si="197"/>
        <v>StdDisziplinen[MaxTextSt]</v>
      </c>
      <c r="RE36" s="202" t="str">
        <f t="shared" ca="1" si="37"/>
        <v/>
      </c>
      <c r="RF36" s="244">
        <f t="shared" ca="1" si="38"/>
        <v>99</v>
      </c>
      <c r="RG36" s="244">
        <f t="shared" ca="1" si="39"/>
        <v>99</v>
      </c>
      <c r="RH36" s="244">
        <f t="shared" ca="1" si="40"/>
        <v>99</v>
      </c>
      <c r="RI36" s="244">
        <f t="shared" ca="1" si="41"/>
        <v>99</v>
      </c>
      <c r="RJ36" s="244">
        <f t="shared" ca="1" si="42"/>
        <v>99</v>
      </c>
      <c r="RK36" s="244">
        <f t="shared" ca="1" si="198"/>
        <v>99</v>
      </c>
      <c r="RL36" s="244">
        <f t="shared" ca="1" si="199"/>
        <v>99</v>
      </c>
      <c r="RM36" s="244">
        <f t="shared" ca="1" si="200"/>
        <v>99</v>
      </c>
      <c r="RN36" s="244">
        <f t="shared" ca="1" si="201"/>
        <v>99</v>
      </c>
      <c r="RO36" s="244">
        <f t="shared" ca="1" si="202"/>
        <v>99</v>
      </c>
      <c r="RP36" s="202" t="str">
        <f t="shared" ca="1" si="43"/>
        <v>Zu wenige Noten</v>
      </c>
      <c r="RQ36" s="202" t="str">
        <f t="shared" ca="1" si="203"/>
        <v>Zu wenige Noten</v>
      </c>
      <c r="RR36" s="202" t="str">
        <f t="shared" ca="1" si="203"/>
        <v>Zu wenige Noten</v>
      </c>
      <c r="RS36" s="202" t="str">
        <f t="shared" ca="1" si="204"/>
        <v>Zu wenige Noten</v>
      </c>
      <c r="RT36" s="202" t="str">
        <f t="shared" ca="1" si="204"/>
        <v>Zu wenige Noten</v>
      </c>
      <c r="RU36" s="202" t="str">
        <f t="shared" ca="1" si="205"/>
        <v>Zu wenige Noten</v>
      </c>
      <c r="RV36" s="202" t="str">
        <f t="shared" ca="1" si="206"/>
        <v>Zu wenige Noten</v>
      </c>
      <c r="RW36" s="31"/>
      <c r="RX36" s="56" t="str">
        <f t="shared" ca="1" si="44"/>
        <v>Zu wenige Noten</v>
      </c>
      <c r="RY36" s="31"/>
      <c r="RZ36" s="31" t="str">
        <f t="shared" ca="1" si="45"/>
        <v>Zu wenige Noten</v>
      </c>
      <c r="SA36" s="31" t="str">
        <f t="shared" ca="1" si="46"/>
        <v>Zu wenige Noten</v>
      </c>
      <c r="SB36" s="45" t="str">
        <f t="shared" ca="1" si="47"/>
        <v>Zu wenige Noten</v>
      </c>
      <c r="SC36" s="31" t="str">
        <f t="shared" ca="1" si="207"/>
        <v>Zu wenige Noten</v>
      </c>
      <c r="SD36" s="31" t="str">
        <f t="shared" ca="1" si="208"/>
        <v>Zu wenige Noten</v>
      </c>
      <c r="SE36" s="31" t="str">
        <f t="shared" ca="1" si="225"/>
        <v>Zu wenige Noten</v>
      </c>
      <c r="SF36" s="31" t="str">
        <f t="shared" ca="1" si="209"/>
        <v>Zu wenige Noten</v>
      </c>
      <c r="SG36" s="31" t="str">
        <f t="shared" ca="1" si="226"/>
        <v>Zu wenige Noten</v>
      </c>
      <c r="SH36" s="36">
        <f t="shared" ca="1" si="210"/>
        <v>0</v>
      </c>
      <c r="SI36" s="36">
        <f t="shared" ca="1" si="211"/>
        <v>0</v>
      </c>
      <c r="SJ36" s="36">
        <f t="shared" ca="1" si="212"/>
        <v>0</v>
      </c>
      <c r="SK36" s="31">
        <f t="shared" ca="1" si="213"/>
        <v>99</v>
      </c>
      <c r="SL36" s="31">
        <f t="shared" ca="1" si="214"/>
        <v>99</v>
      </c>
      <c r="SM36" s="36" t="str">
        <f t="shared" ca="1" si="215"/>
        <v>99.0</v>
      </c>
      <c r="SN36" s="31">
        <f t="shared" ca="1" si="216"/>
        <v>99</v>
      </c>
      <c r="SO36" s="36" t="str">
        <f ca="1">IF(NOT(SJ36),INDEX(StdFehler[StdFehler],4),IF(SI36=$SJ$13,$A$3,CONCATENATE(TEXT(SK36,"#.0"),", ",TEXT(SL36,"#.0"),", ",SM36,", ",TEXT(SN36,"#.0"))))</f>
        <v>Zu wenige Noten</v>
      </c>
      <c r="SP36" s="36" t="str">
        <f t="shared" ca="1" si="49"/>
        <v>Zu wenige Noten</v>
      </c>
      <c r="SQ36" s="36" t="str">
        <f t="shared" ca="1" si="49"/>
        <v>Zu wenige Noten</v>
      </c>
      <c r="SR36" s="36" t="str">
        <f t="shared" ca="1" si="49"/>
        <v>Zu wenige Noten</v>
      </c>
      <c r="SS36" s="36" t="str">
        <f t="shared" ca="1" si="49"/>
        <v>Zu wenige Noten</v>
      </c>
      <c r="ST36" s="36" t="str">
        <f t="shared" ca="1" si="217"/>
        <v>Zu wenige Noten</v>
      </c>
      <c r="SU36" s="36"/>
      <c r="SV36" s="214" t="str">
        <f t="shared" si="218"/>
        <v>D</v>
      </c>
      <c r="SW36" s="36"/>
      <c r="SX36" s="214" t="str">
        <f t="shared" si="219"/>
        <v>D</v>
      </c>
      <c r="SY36" s="36"/>
      <c r="SZ36" s="214" t="str">
        <f t="shared" si="220"/>
        <v>D</v>
      </c>
      <c r="TA36" s="36"/>
      <c r="TB36" s="214" t="str">
        <f t="shared" si="221"/>
        <v>D</v>
      </c>
      <c r="TC36" s="31"/>
      <c r="TD36" s="36" t="str">
        <f t="shared" ca="1" si="222"/>
        <v>Zu wenige Noten</v>
      </c>
      <c r="TE36" s="31"/>
      <c r="TF36" s="193" t="str">
        <f ca="1">IF(NOT(SJ36),INDEX(StdFehler[StdFehler],4),IF(SI36=$TF$4,$A$3,ROUND(AVERAGE(RZ36:SC36)/$TF$5,0)*$TF$5))</f>
        <v>Zu wenige Noten</v>
      </c>
      <c r="TH36" s="595" t="str">
        <f>IF(OR($TH$18=Stammdaten!$AX$20,$TH$18=""),Stammdaten!$AX$20,$TH$18)</f>
        <v>Disziplin</v>
      </c>
      <c r="TI36" s="33"/>
      <c r="TJ36" s="33" t="str">
        <f>IF(OR(Geschlecht[[#This Row],[Geschlecht (Skala)]]="",TH36="",TH36=Stammdaten!$AX$20),"",REPLACE(INDEX(StdDisziplinen[TabÜberschriftResultat],TH$3),FIND("XX",INDEX(StdDisziplinen[TabÜberschriftResultat],TH$3),1),2,Geschlecht[[#This Row],[Geschlecht (Skala)]]))</f>
        <v/>
      </c>
      <c r="TK36" s="596"/>
      <c r="TM36" s="37"/>
      <c r="TN36" s="40"/>
      <c r="TO36" s="587">
        <f>IF(TO$16,IF(TP$16=0.5,MROUND(SchwimmenResultat[[#This Row],[Resultat]],TP$16),ROUND(SchwimmenResultat[[#This Row],[Resultat]],TP$16)),ROUNDDOWN(SchwimmenResultat[[#This Row],[Resultat]],TP$16))</f>
        <v>0</v>
      </c>
      <c r="TP36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6" s="153" t="str">
        <f ca="1">IF(TP36="","",IF(OR(SchwimmenResultat[[#This Row],[Resultat]]=Stammdaten!$AX$22,SchwimmenResultat[[#This Row],[Resultat]]=Stammdaten!$AX$19),Stammdaten!$AX$19,IF(ISNA(INDEX(INDIRECT(TP36),MATCH(SchwimmenGerundet[[#This Row],[Rundung]],INDIRECT(TP36),TP$18))),IF(TP$18=-1,LARGE(INDIRECT(TP36),1),SMALL(INDIRECT(TP36),1)),INDEX(INDIRECT(TP36),MATCH(SchwimmenGerundet[[#This Row],[Rundung]],INDIRECT(TP36),TP$18)))))</f>
        <v/>
      </c>
      <c r="TR36" s="33" t="str">
        <f>IF(OR(TP36="",SchwimmenResultat[[#This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6" s="33"/>
      <c r="TT36" s="36" t="str">
        <f ca="1">IF(OR(TR36="",SchwimmenSkalawert[[#This Row],[Skala-Wert]]=Stammdaten!$AX$19),"",INDEX(INDIRECT(TR36),MATCH(SchwimmenSkalawert[[#This Row],[Skala-Wert]],INDIRECT(TP36),0)))</f>
        <v/>
      </c>
      <c r="TU36" s="36"/>
      <c r="TV36" s="190" t="str">
        <f>IF(ZwölfMinLaufHalleResultat[[#This Row],[Resultat]]=0,"",ZwölfMinLaufHalleResultat[[#This Row],[Resultat]])</f>
        <v/>
      </c>
      <c r="TW36" s="190"/>
      <c r="TX36" s="31" t="str">
        <f ca="1">ZwölfMinLaufHalleSkalawert[[#This Row],[Skala-Wert]]</f>
        <v/>
      </c>
      <c r="TZ36" s="31" t="str">
        <f ca="1">ZwölfMinLaufHalleNote[[#This Row],[Note]]</f>
        <v/>
      </c>
      <c r="UA36" s="31"/>
      <c r="UB36" s="190" t="str">
        <f>IF(ZwölfMinLaufimFreienResultat[[#This Row],[Resultat]]=0,"",ZwölfMinLaufimFreienResultat[[#This Row],[Resultat]])</f>
        <v/>
      </c>
      <c r="UC36" s="190"/>
      <c r="UD36" s="192" t="str">
        <f ca="1">ZwölfMinLaufimFreienSkalawert[[#This Row],[Skala-Wert]]</f>
        <v/>
      </c>
      <c r="UF36" s="31" t="str">
        <f ca="1">ZwölfMinLaufimFreienNote[[#This Row],[Note]]</f>
        <v/>
      </c>
      <c r="UG36" s="31"/>
      <c r="UH36" s="597"/>
      <c r="UI36" s="190"/>
      <c r="UJ36" s="587">
        <f>IF(UJ$16,IF(UK$16=0.5,MROUND(BeweglichkeitResultat[[#This Row],[Resultat]],UK$16),ROUND(BeweglichkeitResultat[[#This Row],[Resultat]],UK$16)),ROUNDDOWN(BeweglichkeitResultat[[#This Row],[Resultat]],UK$16))</f>
        <v>0</v>
      </c>
      <c r="UK36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6" s="192" t="str">
        <f ca="1">IF(UK36="","",IF(OR(BeweglichkeitResultat[[#This Row],[Resultat]]=Stammdaten!$AX$22,BeweglichkeitResultat[[#This Row],[Resultat]]=Stammdaten!$AX$19),Stammdaten!$AX$19,IF(ISNA(INDEX(INDIRECT(UK36),MATCH(BeweglichkeitGerundet[[#This Row],[Rundung]],INDIRECT(UK36),UK$18))),IF(UK$18=-1,LARGE(INDIRECT(UK36),1),SMALL(INDIRECT(UK36),1)),INDEX(INDIRECT(UK36),MATCH(BeweglichkeitGerundet[[#This Row],[Rundung]],INDIRECT(UK36),UK$18)))))</f>
        <v/>
      </c>
      <c r="UN36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6" s="36" t="str">
        <f ca="1">IF(OR(UK36="",BeweglichkeitSkalawert[[#This Row],[Skala-Wert]]=Stammdaten!$AX$19),"",INDEX(INDIRECT(UN36),MATCH(BeweglichkeitSkalawert[[#This Row],[Skala-Wert]],INDIRECT(UK36),0)))</f>
        <v/>
      </c>
      <c r="UP36" s="31"/>
      <c r="UQ36" s="597"/>
      <c r="UR36" s="190"/>
      <c r="US36" s="587">
        <f>IF(US$16,IF(UT$16=0.5,MROUND(RumpfkraftResultat[[#This Row],[Resultat]],UT$16),ROUND(RumpfkraftResultat[[#This Row],[Resultat]],UT$16)),ROUNDDOWN(RumpfkraftResultat[[#This Row],[Resultat]],UT$16))</f>
        <v>0</v>
      </c>
      <c r="UT36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6" s="192" t="str">
        <f ca="1">IF(UT36="","",IF(OR(RumpfkraftResultat[[#This Row],[Resultat]]=Stammdaten!$AX$22,RumpfkraftResultat[[#This Row],[Resultat]]=Stammdaten!$AX$19),Stammdaten!$AX$19,IF(ISNA(INDEX(INDIRECT(UT36),MATCH(RumpfkraftGerundet[[#This Row],[Rundung]],INDIRECT(UT36),UT$18))),IF(UT$18=-1,LARGE(INDIRECT(UT36),1),SMALL(INDIRECT(UT36),1)),INDEX(INDIRECT(UT36),MATCH(RumpfkraftGerundet[[#This Row],[Rundung]],INDIRECT(UT36),UT$18)))))</f>
        <v/>
      </c>
      <c r="UW36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6" s="36" t="str">
        <f ca="1">IF(OR(UT36="",RumpfkraftSkalawert[[#This Row],[Skala-Wert]]=Stammdaten!$AX$19),"",INDEX(INDIRECT(UW36),MATCH(RumpfkraftSkalawert[[#This Row],[Skala-Wert]],INDIRECT(UT36),0)))</f>
        <v/>
      </c>
      <c r="UY36" s="31"/>
      <c r="UZ36" s="190" t="str">
        <f>IF(SechzigmLaufResultat[[#This Row],[Resultat]]=0,"",SechzigmLaufResultat[[#This Row],[Resultat]])</f>
        <v/>
      </c>
      <c r="VA36" s="190"/>
      <c r="VB36" s="45" t="str">
        <f ca="1">SechzigmLaufSkalawert[[#This Row],[Skala-Wert]]</f>
        <v/>
      </c>
      <c r="VD36" s="31" t="str">
        <f ca="1">SechzigmLaufNote[[#This Row],[Note]]</f>
        <v/>
      </c>
      <c r="VE36" s="31"/>
      <c r="VF36" s="190" t="str">
        <f>IF(AchtzigmLaufResultat[[#This Row],[Resultat]]=0,"",AchtzigmLaufResultat[[#This Row],[Resultat]])</f>
        <v/>
      </c>
      <c r="VG36" s="190"/>
      <c r="VH36" s="45" t="str">
        <f ca="1">AchtzigmLaufSkalawert[[#This Row],[Skala-Wert]]</f>
        <v/>
      </c>
      <c r="VJ36" s="31" t="str">
        <f ca="1">AchtzigmLaufNote[[#This Row],[Note]]</f>
        <v/>
      </c>
      <c r="VK36" s="31"/>
      <c r="VL36" s="37"/>
      <c r="VM36" s="190"/>
      <c r="VN36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6" s="191" t="str">
        <f>IF(OR(Geschlecht[[#This Row],[Geschlecht (Skala)]]="",VL$16=""),"",MID(Geschlecht[[#This Row],[Geschlecht (Skala)]],1,1)&amp;MID(VL$16,1,1))</f>
        <v/>
      </c>
      <c r="VP36" s="190" t="str">
        <f>IF(OR(VO36="",KonditionsparcoursResultat[[#This Row],[Resultat]]=""),"",REPLACE(INDEX(StdDisziplinen[TabÜberschriftResultat],VL$3),FIND("X",INDEX(StdDisziplinen[TabÜberschriftResultat],VL$3),1),2,VO36))</f>
        <v/>
      </c>
      <c r="VQ36" s="192" t="str">
        <f ca="1">IF(VP36="","",IF(OR(KonditionsparcoursResultat[[#This Row],[Resultat]]=Stammdaten!$AX$22,KonditionsparcoursResultat[[#This Row],[Resultat]]=Stammdaten!$AX$19),Stammdaten!$AX$19,IF(ISNA(INDEX(INDIRECT(VP36),MATCH(KonditionsparcoursGerundet[[#This Row],[Rundung]],INDIRECT(VP36),VP$18))),IF(VP$18=-1,LARGE(INDIRECT(VP36),1),SMALL(INDIRECT(VP36),1)),INDEX(INDIRECT(VP36),MATCH(KonditionsparcoursGerundet[[#This Row],[Rundung]],INDIRECT(VP36),VP$18)))))</f>
        <v/>
      </c>
      <c r="VS36" s="18" t="str">
        <f ca="1">IF(KonditionsparcoursSkalawert[[#This Row],[Skala-Wert]]="","",REPLACE(INDEX(StdDisziplinen[TabÜberschriftNote],VL$3),FIND("X",INDEX(StdDisziplinen[TabÜberschriftNote],VL$3),1),2,VO36))</f>
        <v/>
      </c>
      <c r="VT36" s="31" t="str">
        <f ca="1">IF(OR(VS36="",KonditionsparcoursSkalawert[[#This Row],[Skala-Wert]]=Stammdaten!$AX$19),"",INDEX(INDIRECT(VS36),MATCH(KonditionsparcoursSkalawert[[#This Row],[Skala-Wert]],INDIRECT(VP36),0)))</f>
        <v/>
      </c>
      <c r="VU36" s="22"/>
    </row>
    <row r="37" spans="1:593" x14ac:dyDescent="0.3">
      <c r="A37" s="30">
        <v>19</v>
      </c>
      <c r="B37" s="589"/>
      <c r="C37" s="589"/>
      <c r="E37" s="591"/>
      <c r="G37" s="37"/>
      <c r="H37" s="190"/>
      <c r="I37" s="154">
        <f>IF(I$16,IF(J$16=0.5,MROUND(SechzigmLaufResultat[[#This Row],[Resultat]],J$16),ROUND(SechzigmLaufResultat[[#This Row],[Resultat]],J$16)),ROUNDDOWN(SechzigmLaufResultat[[#This Row],[Resultat]],J$16))</f>
        <v>0</v>
      </c>
      <c r="J37" s="191" t="str">
        <f>IF(OR(Geschlecht[[#This Row],[Geschlecht (Skala)]]="",G$16=""),"",MID(Geschlecht[[#This Row],[Geschlecht (Skala)]],1,1)&amp;MID(G$16,1,1))</f>
        <v/>
      </c>
      <c r="K37" s="190" t="str">
        <f>IF(OR(J37="",SechzigmLaufResultat[[#This Row],[Resultat]]=""),"",REPLACE(INDEX(StdDisziplinen[TabÜberschriftResultat],G$3),FIND("X",INDEX(StdDisziplinen[TabÜberschriftResultat],G$3),1),2,J37))</f>
        <v/>
      </c>
      <c r="L37" s="45" t="str">
        <f ca="1">IF(K37="","",IF(OR(SechzigmLaufResultat[[#This Row],[Resultat]]=Stammdaten!$AX$22,SechzigmLaufResultat[[#This Row],[Resultat]]=Stammdaten!$AX$19),Stammdaten!$AX$19,IF(ISNA(INDEX(INDIRECT(K37),MATCH(SechzigmLaufGerundet[[#This Row],[Rundung]],INDIRECT(K37),K$18))),IF(K$18=-1,LARGE(INDIRECT(K37),1),SMALL(INDIRECT(K37),1)),INDEX(INDIRECT(K37),MATCH(SechzigmLaufGerundet[[#This Row],[Rundung]],INDIRECT(K37),K$18)))))</f>
        <v/>
      </c>
      <c r="N37" s="18" t="str">
        <f ca="1">IF(SechzigmLaufSkalawert[[#This Row],[Skala-Wert]]="","",REPLACE(INDEX(StdDisziplinen[TabÜberschriftNote],G$3),FIND("X",INDEX(StdDisziplinen[TabÜberschriftNote],G$3),1),2,J37))</f>
        <v/>
      </c>
      <c r="O37" s="31" t="str">
        <f ca="1">IF(OR(N37="",SechzigmLaufSkalawert[[#This Row],[Skala-Wert]]=Stammdaten!$AX$19),"",INDEX(INDIRECT(N37),MATCH(SechzigmLaufSkalawert[[#This Row],[Skala-Wert]],INDIRECT(K37),0)))</f>
        <v/>
      </c>
      <c r="P37" s="31"/>
      <c r="Q37" s="37"/>
      <c r="R37" s="190"/>
      <c r="S37" s="154">
        <f>IF(S$16,IF(T$16=0.5,MROUND(AchtzigmLaufResultat[[#This Row],[Resultat]],T$16),ROUND(AchtzigmLaufResultat[[#This Row],[Resultat]],T$16)),ROUNDDOWN(AchtzigmLaufResultat[[#This Row],[Resultat]],T$16))</f>
        <v>0</v>
      </c>
      <c r="T37" s="191" t="str">
        <f>IF(OR(Geschlecht[[#This Row],[Geschlecht (Skala)]]="",Q$16=""),"",MID(Geschlecht[[#This Row],[Geschlecht (Skala)]],1,1)&amp;MID(Q$16,1,1))</f>
        <v/>
      </c>
      <c r="U37" s="190" t="str">
        <f>IF(OR(T37="",AchtzigmLaufResultat[[#This Row],[Resultat]]=""),"",REPLACE(INDEX(StdDisziplinen[TabÜberschriftResultat],Q$3),FIND("X",INDEX(StdDisziplinen[TabÜberschriftResultat],Q$3),1),2,T37))</f>
        <v/>
      </c>
      <c r="V37" s="45" t="str">
        <f ca="1">IF(U37="","",IF(OR(AchtzigmLaufResultat[[#This Row],[Resultat]]=Stammdaten!$AX$22,AchtzigmLaufResultat[[#This Row],[Resultat]]=Stammdaten!$AX$19),Stammdaten!$AX$19,IF(ISNA(INDEX(INDIRECT(U37),MATCH(AchtzigmLaufGerundet[[#This Row],[Rundung]],INDIRECT(U37),U$18))),IF(U$18=-1,LARGE(INDIRECT(U37),1),SMALL(INDIRECT(U37),1)),INDEX(INDIRECT(U37),MATCH(AchtzigmLaufGerundet[[#This Row],[Rundung]],INDIRECT(U37),U$18)))))</f>
        <v/>
      </c>
      <c r="X37" s="18" t="str">
        <f ca="1">IF(AchtzigmLaufSkalawert[[#This Row],[Skala-Wert]]="","",REPLACE(INDEX(StdDisziplinen[TabÜberschriftNote],Q$3),FIND("X",INDEX(StdDisziplinen[TabÜberschriftNote],Q$3),1),2,T37))</f>
        <v/>
      </c>
      <c r="Y37" s="31" t="str">
        <f ca="1">IF(OR(X37="",AchtzigmLaufSkalawert[[#This Row],[Skala-Wert]]=Stammdaten!$AX$19),"",INDEX(INDIRECT(X37),MATCH(AchtzigmLaufSkalawert[[#This Row],[Skala-Wert]],INDIRECT(U37),0)))</f>
        <v/>
      </c>
      <c r="Z37" s="31"/>
      <c r="AA37" s="37"/>
      <c r="AB37" s="190"/>
      <c r="AC37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7" s="191" t="str">
        <f>IF(OR(Geschlecht[[#This Row],[Geschlecht (Skala)]]="",AA$16=""),"",MID(Geschlecht[[#This Row],[Geschlecht (Skala)]],1,1)&amp;MID(AA$16,1,1))</f>
        <v/>
      </c>
      <c r="AE37" s="190" t="str">
        <f>IF(OR(AD37="",ZwölfMinLaufHalleResultat[[#This Row],[Resultat]]=""),"",REPLACE(INDEX(StdDisziplinen[TabÜberschriftResultat],AA$3),FIND("X",INDEX(StdDisziplinen[TabÜberschriftResultat],AA$3),1),2,AD37))</f>
        <v/>
      </c>
      <c r="AF37" s="31" t="str">
        <f ca="1">IF(AE37="","",IF(OR(ZwölfMinLaufHalleResultat[[#This Row],[Resultat]]=Stammdaten!$AX$22,ZwölfMinLaufHalleResultat[[#This Row],[Resultat]]=Stammdaten!$AX$19),Stammdaten!$AX$19,IF(ISNA(INDEX(INDIRECT(AE37),MATCH(ZwölfMinLaufHalleGerundet[[#This Row],[Rundung]],INDIRECT(AE37),AE$18))),IF(AE$18=-1,LARGE(INDIRECT(AE37),1),SMALL(INDIRECT(AE37),1)),INDEX(INDIRECT(AE37),MATCH(ZwölfMinLaufHalleGerundet[[#This Row],[Rundung]],INDIRECT(AE37),AE$18)))))</f>
        <v/>
      </c>
      <c r="AH37" s="18" t="str">
        <f ca="1">IF(ZwölfMinLaufHalleSkalawert[[#This Row],[Skala-Wert]]="","",REPLACE(INDEX(StdDisziplinen[TabÜberschriftNote],AA$3),FIND("X",INDEX(StdDisziplinen[TabÜberschriftNote],AA$3),1),2,AD37))</f>
        <v/>
      </c>
      <c r="AI37" s="31" t="str">
        <f ca="1">IF(OR(AH37="",ZwölfMinLaufHalleSkalawert[[#This Row],[Skala-Wert]]=Stammdaten!$AX$19),"",INDEX(INDIRECT(AH37),MATCH(ZwölfMinLaufHalleSkalawert[[#This Row],[Skala-Wert]],INDIRECT(AE37),0)))</f>
        <v/>
      </c>
      <c r="AJ37" s="31"/>
      <c r="AK37" s="597"/>
      <c r="AL37" s="190"/>
      <c r="AM37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7" s="191" t="str">
        <f>IF(OR(Geschlecht[[#This Row],[Geschlecht (Skala)]]="",AK$16=""),"",MID(Geschlecht[[#This Row],[Geschlecht (Skala)]],1,1)&amp;MID(AK$16,1,1))</f>
        <v/>
      </c>
      <c r="AO37" s="190" t="str">
        <f>IF(OR(AN37="",ZwölfMinLaufimFreienResultat[[#This Row],[Resultat]]=""),"",REPLACE(INDEX(StdDisziplinen[TabÜberschriftResultat],AK$3),FIND("X",INDEX(StdDisziplinen[TabÜberschriftResultat],AK$3),1),2,AN37))</f>
        <v/>
      </c>
      <c r="AP37" s="192" t="str">
        <f ca="1">IF(AO37="","",IF(OR(ZwölfMinLaufimFreienResultat[[#This Row],[Resultat]]=Stammdaten!$AX$22,ZwölfMinLaufimFreienResultat[[#This Row],[Resultat]]=Stammdaten!$AX$19),Stammdaten!$AX$19,IF(ISNA(INDEX(INDIRECT(AO37),MATCH(ZwölfMinLaufimFreienGerundet[[#This Row],[Rundung]],INDIRECT(AO37),AO$18))),IF(AO$18=-1,LARGE(INDIRECT(AO37),1),SMALL(INDIRECT(AO37),1)),INDEX(INDIRECT(AO37),MATCH(ZwölfMinLaufimFreienGerundet[[#This Row],[Rundung]],INDIRECT(AO37),AO$18)))))</f>
        <v/>
      </c>
      <c r="AR37" s="18" t="str">
        <f ca="1">IF(ZwölfMinLaufimFreienSkalawert[[#This Row],[Skala-Wert]]="","",REPLACE(INDEX(StdDisziplinen[TabÜberschriftNote],AK$3),FIND("X",INDEX(StdDisziplinen[TabÜberschriftNote],AK$3),1),2,AN37))</f>
        <v/>
      </c>
      <c r="AS37" s="31" t="str">
        <f ca="1">IF(OR(AR37="",ZwölfMinLaufimFreienSkalawert[[#This Row],[Skala-Wert]]=Stammdaten!$AX$19),"",INDEX(INDIRECT(AR37),MATCH(ZwölfMinLaufimFreienSkalawert[[#This Row],[Skala-Wert]],INDIRECT(AO37),0)))</f>
        <v/>
      </c>
      <c r="AT37" s="31"/>
      <c r="AU37" s="597"/>
      <c r="AV37" s="190"/>
      <c r="AW37" s="587">
        <f>IF(AW$16,IF(AX$16=0.5,MROUND(HochsprungResultat[[#This Row],[Resultat]],AX$16),ROUND(HochsprungResultat[[#This Row],[Resultat]],AX$16)),ROUNDDOWN(HochsprungResultat[[#This Row],[Resultat]],AX$16))</f>
        <v>0</v>
      </c>
      <c r="AX37" s="191" t="str">
        <f>IF(OR(Geschlecht[[#This Row],[Geschlecht (Skala)]]="",AU$16=""),"",MID(Geschlecht[[#This Row],[Geschlecht (Skala)]],1,1)&amp;MID(AU$16,1,1))</f>
        <v/>
      </c>
      <c r="AY37" s="190" t="str">
        <f>IF(OR(AX37="",HochsprungResultat[[#This Row],[Resultat]]=""),"",REPLACE(INDEX(StdDisziplinen[TabÜberschriftResultat],AU$3),FIND("X",INDEX(StdDisziplinen[TabÜberschriftResultat],AU$3),1),2,AX37))</f>
        <v/>
      </c>
      <c r="AZ37" s="192" t="str">
        <f ca="1">IF(AY37="","",IF(OR(HochsprungResultat[[#This Row],[Resultat]]=Stammdaten!$AX$22,HochsprungResultat[[#This Row],[Resultat]]=Stammdaten!$AX$19),Stammdaten!$AX$19,IF(ISNA(INDEX(INDIRECT(AY37),MATCH(HochsprungGerundet[[#This Row],[Rundung]],INDIRECT(AY37),AY$18))),IF(AY$18=-1,LARGE(INDIRECT(AY37),1),SMALL(INDIRECT(AY37),1)),INDEX(INDIRECT(AY37),MATCH(HochsprungGerundet[[#This Row],[Rundung]],INDIRECT(AY37),AY$18)))))</f>
        <v/>
      </c>
      <c r="BB37" s="18" t="str">
        <f ca="1">IF(HochsprungSkalawert[[#This Row],[Skala-Wert]]="","",REPLACE(INDEX(StdDisziplinen[TabÜberschriftNote],AU$3),FIND("X",INDEX(StdDisziplinen[TabÜberschriftNote],AU$3),1),2,AX37))</f>
        <v/>
      </c>
      <c r="BC37" s="31" t="str">
        <f ca="1">IF(OR(BB37="",HochsprungSkalawert[[#This Row],[Skala-Wert]]=Stammdaten!$AX$19),"",INDEX(INDIRECT(BB37),MATCH(HochsprungSkalawert[[#This Row],[Skala-Wert]],INDIRECT(AY37),0)))</f>
        <v/>
      </c>
      <c r="BD37" s="31"/>
      <c r="BE37" s="597"/>
      <c r="BF37" s="190"/>
      <c r="BG37" s="587">
        <f>IF(BG$16,IF(BH$16=0.5,MROUND(WeitsprungResultat[[#This Row],[Resultat]],BH$16),ROUND(WeitsprungResultat[[#This Row],[Resultat]],BH$16)),ROUNDDOWN(WeitsprungResultat[[#This Row],[Resultat]],BH$16))</f>
        <v>0</v>
      </c>
      <c r="BH37" s="191" t="str">
        <f>IF(OR(Geschlecht[[#This Row],[Geschlecht (Skala)]]="",BE$16=""),"",MID(Geschlecht[[#This Row],[Geschlecht (Skala)]],1,1)&amp;MID(BE$16,1,1))</f>
        <v/>
      </c>
      <c r="BI37" s="190" t="str">
        <f>IF(OR(BH37="",WeitsprungResultat[[#This Row],[Resultat]]=""),"",REPLACE(INDEX(StdDisziplinen[TabÜberschriftResultat],BE$3),FIND("X",INDEX(StdDisziplinen[TabÜberschriftResultat],BE$3),1),2,BH37))</f>
        <v/>
      </c>
      <c r="BJ37" s="192" t="str">
        <f ca="1">IF(BI37="","",IF(OR(WeitsprungResultat[[#This Row],[Resultat]]=Stammdaten!$AX$22,WeitsprungResultat[[#This Row],[Resultat]]=Stammdaten!$AX$19),Stammdaten!$AX$19,IF(ISNA(INDEX(INDIRECT(BI37),MATCH(WeitsprungGerundet[[#This Row],[Rundung]],INDIRECT(BI37),BI$18))),IF(BI$18=-1,LARGE(INDIRECT(BI37),1),SMALL(INDIRECT(BI37),1)),INDEX(INDIRECT(BI37),MATCH(WeitsprungGerundet[[#This Row],[Rundung]],INDIRECT(BI37),BI$18)))))</f>
        <v/>
      </c>
      <c r="BL37" s="18" t="str">
        <f ca="1">IF(WeitsprungSkalawert[[#This Row],[Skala-Wert]]="","",REPLACE(INDEX(StdDisziplinen[TabÜberschriftNote],BE$3),FIND("X",INDEX(StdDisziplinen[TabÜberschriftNote],BE$3),1),2,BH37))</f>
        <v/>
      </c>
      <c r="BM37" s="31" t="str">
        <f ca="1">IF(OR(BL37="",WeitsprungSkalawert[[#This Row],[Skala-Wert]]=Stammdaten!$AX$19),"",INDEX(INDIRECT(BL37),MATCH(WeitsprungSkalawert[[#This Row],[Skala-Wert]],INDIRECT(BI37),0)))</f>
        <v/>
      </c>
      <c r="BN37" s="31"/>
      <c r="BO37" s="37"/>
      <c r="BP37" s="190"/>
      <c r="BQ37" s="154">
        <f>IF(BQ$16,IF(BR$16=0.5,MROUND(BallwurfResultat[[#This Row],[Resultat]],BR$16),ROUND(BallwurfResultat[[#This Row],[Resultat]],BR$16)),ROUNDDOWN(BallwurfResultat[[#This Row],[Resultat]],BR$16))</f>
        <v>0</v>
      </c>
      <c r="BR37" s="191" t="str">
        <f>IF(OR(Geschlecht[[#This Row],[Geschlecht (Skala)]]="",BO$16=""),"",MID(Geschlecht[[#This Row],[Geschlecht (Skala)]],1,1)&amp;MID(BO$16,1,1))</f>
        <v/>
      </c>
      <c r="BS37" s="190" t="str">
        <f>IF(OR(BR37="",BallwurfResultat[[#This Row],[Resultat]]=""),"",REPLACE(INDEX(StdDisziplinen[TabÜberschriftResultat],BO$3),FIND("X",INDEX(StdDisziplinen[TabÜberschriftResultat],BO$3),1),2,BR37))</f>
        <v/>
      </c>
      <c r="BT37" s="45" t="str">
        <f ca="1">IF(BS37="","",IF(OR(BallwurfResultat[[#This Row],[Resultat]]=Stammdaten!$AX$22,BallwurfResultat[[#This Row],[Resultat]]=Stammdaten!$AX$19),Stammdaten!$AX$19,IF(ISNA(INDEX(INDIRECT(BS37),MATCH(BallwurfGerundet[[#This Row],[Rundung]],INDIRECT(BS37),BS$18))),IF(BS$18=-1,LARGE(INDIRECT(BS37),1),SMALL(INDIRECT(BS37),1)),INDEX(INDIRECT(BS37),MATCH(BallwurfGerundet[[#This Row],[Rundung]],INDIRECT(BS37),BS$18)))))</f>
        <v/>
      </c>
      <c r="BV37" s="18" t="str">
        <f ca="1">IF(BallwurfSkalawert[[#This Row],[Skala-Wert]]="","",REPLACE(INDEX(StdDisziplinen[TabÜberschriftNote],BO$3),FIND("X",INDEX(StdDisziplinen[TabÜberschriftNote],BO$3),1),2,BR37))</f>
        <v/>
      </c>
      <c r="BW37" s="31" t="str">
        <f ca="1">IF(OR(BV37="",BallwurfSkalawert[[#This Row],[Skala-Wert]]=Stammdaten!$AX$19),"",INDEX(INDIRECT(BV37),MATCH(BallwurfSkalawert[[#This Row],[Skala-Wert]],INDIRECT(BS37),0)))</f>
        <v/>
      </c>
      <c r="BX37" s="31"/>
      <c r="BY37" s="598"/>
      <c r="BZ37" s="190"/>
      <c r="CA37" s="154">
        <f>IF(CA$16,IF(CB$16=0.5,MROUND(KugelstossenResultat[[#This Row],[Resultat]],CB$16),ROUND(KugelstossenResultat[[#This Row],[Resultat]],CB$16)),ROUNDDOWN(KugelstossenResultat[[#This Row],[Resultat]],CB$16))</f>
        <v>0</v>
      </c>
      <c r="CB37" s="191" t="str">
        <f>IF(OR(Geschlecht[[#This Row],[Geschlecht (Skala)]]="",BY$16=""),"",MID(Geschlecht[[#This Row],[Geschlecht (Skala)]],1,1)&amp;MID(BY$16,1,1))</f>
        <v/>
      </c>
      <c r="CC37" s="190" t="str">
        <f>IF(OR(CB37="",KugelstossenResultat[[#This Row],[Resultat]]=""),"",REPLACE(INDEX(StdDisziplinen[TabÜberschriftResultat],BY$3),FIND("X",INDEX(StdDisziplinen[TabÜberschriftResultat],BY$3),1),2,CB37))</f>
        <v/>
      </c>
      <c r="CD37" s="45" t="str">
        <f ca="1">IF(CC37="","",IF(OR(KugelstossenResultat[[#This Row],[Resultat]]=Stammdaten!$AX$22,KugelstossenResultat[[#This Row],[Resultat]]=Stammdaten!$AX$19),Stammdaten!$AX$19,IF(ISNA(INDEX(INDIRECT(CC37),MATCH(KugelstossenGerundet[[#This Row],[Rundung]],INDIRECT(CC37),CC$18))),IF(CC$18=-1,LARGE(INDIRECT(CC37),1),SMALL(INDIRECT(CC37),1)),INDEX(INDIRECT(CC37),MATCH(KugelstossenGerundet[[#This Row],[Rundung]],INDIRECT(CC37),CC$18)))))</f>
        <v/>
      </c>
      <c r="CF37" s="18" t="str">
        <f ca="1">IF(KugelstossenSkalawert[[#This Row],[Skala-Wert]]="","",REPLACE(INDEX(StdDisziplinen[TabÜberschriftNote],BY$3),FIND("X",INDEX(StdDisziplinen[TabÜberschriftNote],BY$3),1),2,CB37))</f>
        <v/>
      </c>
      <c r="CG37" s="31" t="str">
        <f ca="1">IF(OR(CF37="",KugelstossenSkalawert[[#This Row],[Skala-Wert]]=Stammdaten!$AX$19),"",INDEX(INDIRECT(CF37),MATCH(KugelstossenSkalawert[[#This Row],[Skala-Wert]],INDIRECT(CC37),0)))</f>
        <v/>
      </c>
      <c r="CH37" s="31"/>
      <c r="CI37" s="37"/>
      <c r="CJ37" s="190"/>
      <c r="CK37" s="154">
        <f>IF(CK$16,IF(CL$16=0.5,MROUND(SpeerwurfResultat[[#This Row],[Resultat]],CL$16),ROUND(SpeerwurfResultat[[#This Row],[Resultat]],CL$16)),ROUNDDOWN(SpeerwurfResultat[[#This Row],[Resultat]],CL$16))</f>
        <v>0</v>
      </c>
      <c r="CL37" s="191" t="str">
        <f>IF(OR(Geschlecht[[#This Row],[Geschlecht (Skala)]]="",CI$16=""),"",MID(Geschlecht[[#This Row],[Geschlecht (Skala)]],1,1)&amp;MID(CI$16,1,1))</f>
        <v/>
      </c>
      <c r="CM37" s="190" t="str">
        <f>IF(OR(CL37="",SpeerwurfResultat[[#This Row],[Resultat]]=""),"",REPLACE(INDEX(StdDisziplinen[TabÜberschriftResultat],CI$3),FIND("X",INDEX(StdDisziplinen[TabÜberschriftResultat],CI$3),1),2,CL37))</f>
        <v/>
      </c>
      <c r="CN37" s="45" t="str">
        <f ca="1">IF(CM37="","",IF(OR(SpeerwurfResultat[[#This Row],[Resultat]]=Stammdaten!$AX$22,SpeerwurfResultat[[#This Row],[Resultat]]=Stammdaten!$AX$19),Stammdaten!$AX$19,IF(ISNA(INDEX(INDIRECT(CM37),MATCH(SpeerwurfGerundet[[#This Row],[Rundung]],INDIRECT(CM37),CM$18))),IF(CM$18=-1,LARGE(INDIRECT(CM37),1),SMALL(INDIRECT(CM37),1)),INDEX(INDIRECT(CM37),MATCH(SpeerwurfGerundet[[#This Row],[Rundung]],INDIRECT(CM37),CM$18)))))</f>
        <v/>
      </c>
      <c r="CP37" s="18" t="str">
        <f ca="1">IF(SpeerwurfSkalawert[[#This Row],[Skala-Wert]]="","",REPLACE(INDEX(StdDisziplinen[TabÜberschriftNote],CI$3),FIND("X",INDEX(StdDisziplinen[TabÜberschriftNote],CI$3),1),2,CL37))</f>
        <v/>
      </c>
      <c r="CQ37" s="31" t="str">
        <f ca="1">IF(OR(CP37="",SpeerwurfSkalawert[[#This Row],[Skala-Wert]]=Stammdaten!$AX$19),"",INDEX(INDIRECT(CP37),MATCH(SpeerwurfSkalawert[[#This Row],[Skala-Wert]],INDIRECT(CM37),0)))</f>
        <v/>
      </c>
      <c r="CR37" s="31"/>
      <c r="CS37" s="31" t="str">
        <f t="shared" ca="1" si="50"/>
        <v/>
      </c>
      <c r="CT37" s="31" t="str">
        <f t="shared" ca="1" si="50"/>
        <v/>
      </c>
      <c r="CU37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Row],[Skala-Wert]])&gt;0,MAX(CS37:CT37),99))</f>
        <v>Keine Note</v>
      </c>
      <c r="CV37" s="202" t="str">
        <f t="shared" ca="1" si="51"/>
        <v/>
      </c>
      <c r="CW37" s="202" t="str">
        <f ca="1">IF(CV37=$A$2,CS$10&amp;Stammdaten!$AX$25,IF(CU37=INDEX(StdFehler[],3),CS$10&amp;Stammdaten!$AX$27,INDEX(INDIRECT($B$4),MATCH(CV37,INDIRECT($B$5),0))))</f>
        <v>Sprintdisziplinen nicht durchgeführt</v>
      </c>
      <c r="CX37" s="202" t="str">
        <f ca="1">IFERROR(INDEX(INDIRECT(CX$12),MATCH(CV37,StdDisziplinen[ID],0)),"")</f>
        <v/>
      </c>
      <c r="CY37" s="202" t="e">
        <f t="shared" ca="1" si="52"/>
        <v>#N/A</v>
      </c>
      <c r="CZ37" s="202" t="e">
        <f t="shared" ca="1" si="53"/>
        <v>#N/A</v>
      </c>
      <c r="DA37" s="98" t="str">
        <f t="shared" ca="1" si="223"/>
        <v/>
      </c>
      <c r="DB37" s="202" t="e">
        <f t="shared" ca="1" si="54"/>
        <v>#N/A</v>
      </c>
      <c r="DC37" s="202" t="str">
        <f t="shared" ca="1" si="55"/>
        <v/>
      </c>
      <c r="DD37" s="31" t="str">
        <f t="shared" ca="1" si="56"/>
        <v/>
      </c>
      <c r="DE37" s="31" t="str">
        <f t="shared" ca="1" si="56"/>
        <v/>
      </c>
      <c r="DF37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Row],[Skala-Wert]])&gt;0,MAX(DD37:DE37),99))</f>
        <v>Keine Note</v>
      </c>
      <c r="DG37" s="202" t="str">
        <f t="shared" ca="1" si="57"/>
        <v/>
      </c>
      <c r="DH37" s="202" t="str">
        <f ca="1">IF(DG37=$A$2,DD$10&amp;Stammdaten!$AX$25,IF(DF37=INDEX(StdFehler[],3),DD$10&amp;Stammdaten!$AX$27,INDEX(INDIRECT($B$4),MATCH(DG37,INDIRECT($B$5),0))))</f>
        <v>Ausdauerdisziplinen nicht durchgeführt</v>
      </c>
      <c r="DI37" s="202" t="str">
        <f ca="1">IFERROR(INDEX(INDIRECT(DI$12),MATCH(DG37,StdDisziplinen[ID],0)),"")</f>
        <v/>
      </c>
      <c r="DJ37" s="202" t="e">
        <f t="shared" ca="1" si="58"/>
        <v>#N/A</v>
      </c>
      <c r="DK37" s="202" t="e">
        <f t="shared" ca="1" si="59"/>
        <v>#N/A</v>
      </c>
      <c r="DL37" s="96" t="str">
        <f t="shared" ca="1" si="60"/>
        <v/>
      </c>
      <c r="DM37" s="202" t="e">
        <f t="shared" ca="1" si="61"/>
        <v>#N/A</v>
      </c>
      <c r="DN37" s="202" t="str">
        <f t="shared" ca="1" si="62"/>
        <v/>
      </c>
      <c r="DO37" s="31" t="str">
        <f t="shared" ca="1" si="63"/>
        <v/>
      </c>
      <c r="DP37" s="31" t="str">
        <f t="shared" ca="1" si="63"/>
        <v/>
      </c>
      <c r="DQ37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Row],[Skala-Wert]])&gt;0,MAX(DO37:DP37),99))</f>
        <v>Keine Note</v>
      </c>
      <c r="DR37" s="202" t="str">
        <f t="shared" ca="1" si="64"/>
        <v/>
      </c>
      <c r="DS37" s="202" t="str">
        <f ca="1">IF(DR37=$A$2,DO$10&amp;Stammdaten!$AX$25,IF(DQ37=INDEX(StdFehler[],3),DO$10&amp;Stammdaten!$AX$27,INDEX(INDIRECT($B$4),MATCH(DR37,INDIRECT($B$5),0))))</f>
        <v>Sprungdisziplinen nicht durchgeführt</v>
      </c>
      <c r="DT37" s="202" t="str">
        <f ca="1">IFERROR(INDEX(INDIRECT(DT$12),MATCH(DR37,StdDisziplinen[ID],0)),"")</f>
        <v/>
      </c>
      <c r="DU37" s="202" t="e">
        <f t="shared" ca="1" si="65"/>
        <v>#N/A</v>
      </c>
      <c r="DV37" s="202" t="e">
        <f t="shared" ca="1" si="66"/>
        <v>#N/A</v>
      </c>
      <c r="DW37" s="202" t="str">
        <f t="shared" ca="1" si="67"/>
        <v/>
      </c>
      <c r="DX37" s="202" t="e">
        <f t="shared" ca="1" si="68"/>
        <v>#N/A</v>
      </c>
      <c r="DY37" s="202" t="str">
        <f t="shared" ca="1" si="69"/>
        <v/>
      </c>
      <c r="DZ37" s="31" t="str">
        <f ca="1">IF(BallwurfSkalawert[[#This Row],[Skala-Wert]]=$A$3,$A$2,IF(ISNUMBER(BallwurfSkalawert[[#This Row],[Skala-Wert]]),BallwurfNote[[#This Row],[Note]],"!"))</f>
        <v>!</v>
      </c>
      <c r="EA37" s="31" t="str">
        <f ca="1">IF(KugelstossenSkalawert[[#This Row],[Skala-Wert]]=$A$3,$A$2,IF(ISNUMBER(KugelstossenSkalawert[[#This Row],[Skala-Wert]]),KugelstossenNote[[#This Row],[Note]],"!"))</f>
        <v>!</v>
      </c>
      <c r="EB37" s="31" t="str">
        <f ca="1">IF(SpeerwurfSkalawert[[#This Row],[Skala-Wert]]=$A$3,$A$2,IF(ISNUMBER(SpeerwurfSkalawert[[#This Row],[Skala-Wert]]),SpeerwurfNote[[#This Row],[Note]],"!"))</f>
        <v>!</v>
      </c>
      <c r="EC37" s="95" t="str">
        <f ca="1">IF(ED37&gt;0,MAX(DZ37:EB37),IF(EE37&gt;0,99,INDEX(StdFehler[StdFehler],3)))</f>
        <v>Keine Note</v>
      </c>
      <c r="ED37" s="202">
        <f t="shared" ca="1" si="70"/>
        <v>0</v>
      </c>
      <c r="EE37" s="202">
        <f t="shared" ca="1" si="71"/>
        <v>0</v>
      </c>
      <c r="EF37" s="202" t="str">
        <f t="shared" ca="1" si="72"/>
        <v/>
      </c>
      <c r="EG37" s="202" t="str">
        <f ca="1">IF(EF37=$A$2,DZ$10&amp;Stammdaten!$AX$25,IF(EC37=INDEX(StdFehler[],3),DZ$10&amp;Stammdaten!$AX$27,INDEX(INDIRECT($B$4),MATCH(EF37,INDIRECT($B$5),0))))</f>
        <v>Wurfdisziplinen nicht durchgeführt</v>
      </c>
      <c r="EH37" s="202" t="str">
        <f ca="1">IFERROR(INDEX(INDIRECT(EH$12),MATCH(EF37,StdDisziplinen[ID],0)),"")</f>
        <v/>
      </c>
      <c r="EI37" s="202" t="e">
        <f t="shared" ca="1" si="73"/>
        <v>#N/A</v>
      </c>
      <c r="EJ37" s="202" t="e">
        <f t="shared" ca="1" si="74"/>
        <v>#N/A</v>
      </c>
      <c r="EK37" s="98" t="str">
        <f t="shared" ca="1" si="75"/>
        <v/>
      </c>
      <c r="EL37" s="202" t="e">
        <f t="shared" ca="1" si="76"/>
        <v>#N/A</v>
      </c>
      <c r="EM37" s="202" t="str">
        <f t="shared" ca="1" si="77"/>
        <v/>
      </c>
      <c r="EN37" s="200">
        <f t="shared" ca="1" si="1"/>
        <v>0</v>
      </c>
      <c r="EO37" s="202">
        <f t="shared" ca="1" si="78"/>
        <v>0</v>
      </c>
      <c r="EP37" s="96">
        <f t="shared" ca="1" si="2"/>
        <v>0</v>
      </c>
      <c r="EQ37" s="96">
        <f t="shared" ca="1" si="3"/>
        <v>0</v>
      </c>
      <c r="ER37" s="96">
        <f t="shared" ca="1" si="4"/>
        <v>0</v>
      </c>
      <c r="ES37" s="96">
        <f t="shared" ca="1" si="5"/>
        <v>0</v>
      </c>
      <c r="ET37" s="202">
        <f t="shared" ca="1" si="79"/>
        <v>0</v>
      </c>
      <c r="EU37" s="202" t="str">
        <f ca="1">IF($EO37=$FA$4,Stammdaten!$AX$19,IF(COUNTIF($EP37:$ES37,0)&lt;&gt;0,INDEX(StdFehler[StdFehler],4),ROUND(SUM($ET37/$EN37)/$FC$4,0)*$FC$4))</f>
        <v>Zu wenige Noten</v>
      </c>
      <c r="EV37" s="202" t="str">
        <f t="shared" ca="1" si="6"/>
        <v>Zu wenige Noten</v>
      </c>
      <c r="EW37" s="202" t="str">
        <f t="shared" ca="1" si="80"/>
        <v>Zu wenige Noten</v>
      </c>
      <c r="EX37" s="202" t="str">
        <f t="shared" ca="1" si="80"/>
        <v>Zu wenige Noten</v>
      </c>
      <c r="EY37" s="202" t="str">
        <f t="shared" ca="1" si="80"/>
        <v>Zu wenige Noten</v>
      </c>
      <c r="EZ37" s="202" t="str">
        <f t="shared" ca="1" si="81"/>
        <v>Zu wenige Noten</v>
      </c>
      <c r="FA37" s="202" t="str">
        <f t="shared" ca="1" si="82"/>
        <v>Zu wenige Noten</v>
      </c>
      <c r="FB37" s="31"/>
      <c r="FC37" s="56" t="str">
        <f t="shared" ca="1" si="83"/>
        <v>Zu wenige Noten</v>
      </c>
      <c r="FD37" s="31"/>
      <c r="FE37" s="597"/>
      <c r="FF37" s="190"/>
      <c r="FJ37" s="31"/>
      <c r="FK37" s="597"/>
      <c r="FL37" s="190"/>
      <c r="FP37" s="31"/>
      <c r="FQ37" s="597"/>
      <c r="FR37" s="190"/>
      <c r="FV37" s="31"/>
      <c r="FW37" s="597"/>
      <c r="FX37" s="190"/>
      <c r="GB37" s="31"/>
      <c r="GC37" s="597"/>
      <c r="GD37" s="190"/>
      <c r="GF37" s="154"/>
      <c r="GH37" s="31"/>
      <c r="GI37" s="597"/>
      <c r="GJ37" s="190"/>
      <c r="GN37" s="45"/>
      <c r="GO37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7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7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7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7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7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7" s="202">
        <f t="shared" si="7"/>
        <v>0</v>
      </c>
      <c r="GV37" s="202">
        <f t="shared" si="8"/>
        <v>0</v>
      </c>
      <c r="GW37" s="202">
        <f t="shared" si="84"/>
        <v>0</v>
      </c>
      <c r="GX37" s="200" t="str">
        <f t="shared" si="85"/>
        <v>!</v>
      </c>
      <c r="GY37" s="200" t="str">
        <f t="shared" si="9"/>
        <v>!</v>
      </c>
      <c r="GZ37" s="200" t="str">
        <f t="shared" si="10"/>
        <v>!</v>
      </c>
      <c r="HA37" s="244" t="str">
        <f t="shared" si="86"/>
        <v>nd</v>
      </c>
      <c r="HB37" s="244" t="str">
        <f t="shared" si="87"/>
        <v>nd</v>
      </c>
      <c r="HC37" s="244" t="str">
        <f t="shared" si="88"/>
        <v>nd</v>
      </c>
      <c r="HD37" s="244" t="str">
        <f t="shared" si="89"/>
        <v>nd</v>
      </c>
      <c r="HE37" s="244" t="str">
        <f t="shared" si="90"/>
        <v>nd</v>
      </c>
      <c r="HF37" s="244" t="str">
        <f t="shared" si="91"/>
        <v>nd</v>
      </c>
      <c r="HG37" s="202" t="b">
        <f t="shared" si="92"/>
        <v>0</v>
      </c>
      <c r="HH37" s="202">
        <f t="shared" si="93"/>
        <v>1</v>
      </c>
      <c r="HI37" s="202">
        <f t="shared" si="94"/>
        <v>0</v>
      </c>
      <c r="HJ37" s="200" t="str">
        <f t="shared" si="95"/>
        <v/>
      </c>
      <c r="HK37" s="200" t="str">
        <f t="shared" si="96"/>
        <v/>
      </c>
      <c r="HL37" s="200">
        <f t="shared" si="97"/>
        <v>0</v>
      </c>
      <c r="HM37" s="202" t="str">
        <f t="shared" si="98"/>
        <v/>
      </c>
      <c r="HN37" s="200" t="str">
        <f t="shared" si="99"/>
        <v/>
      </c>
      <c r="HO37" s="200" t="str">
        <f t="shared" si="100"/>
        <v/>
      </c>
      <c r="HP37" s="200" t="str">
        <f t="shared" si="101"/>
        <v/>
      </c>
      <c r="HQ37" s="242" t="str">
        <f t="shared" si="102"/>
        <v/>
      </c>
      <c r="HR37" s="242" t="str">
        <f t="shared" si="103"/>
        <v/>
      </c>
      <c r="HS37" s="242" t="str">
        <f t="shared" si="104"/>
        <v/>
      </c>
      <c r="HT37" s="242" t="str">
        <f t="shared" ca="1" si="105"/>
        <v>Erstes Gerät</v>
      </c>
      <c r="HU37" s="242" t="str">
        <f ca="1">IF(HT37=$HS$12,Stammdaten!$AY$27,IF(HW37=$A$2,TRIM(Stammdaten!$AX$25),""))</f>
        <v>nicht durchgeführt</v>
      </c>
      <c r="HV37" s="242" t="str">
        <f t="shared" ca="1" si="106"/>
        <v/>
      </c>
      <c r="HW37" s="277" t="str">
        <f t="shared" si="11"/>
        <v/>
      </c>
      <c r="HX37" s="202" t="str">
        <f t="shared" si="107"/>
        <v/>
      </c>
      <c r="HY37" s="202" t="str">
        <f t="shared" ca="1" si="108"/>
        <v/>
      </c>
      <c r="HZ37" s="202" t="str">
        <f t="shared" ca="1" si="109"/>
        <v>StdDisziplinen[MaxTextSt]</v>
      </c>
      <c r="IA37" s="202" t="str">
        <f t="shared" ca="1" si="12"/>
        <v/>
      </c>
      <c r="IB37" s="202" t="b">
        <f t="shared" si="110"/>
        <v>0</v>
      </c>
      <c r="IC37" s="202" t="str">
        <f t="shared" si="111"/>
        <v/>
      </c>
      <c r="ID37" s="202" t="str">
        <f t="shared" si="112"/>
        <v/>
      </c>
      <c r="IE37" s="202" t="str">
        <f t="shared" si="113"/>
        <v/>
      </c>
      <c r="IF37" s="202" t="str">
        <f t="shared" si="114"/>
        <v/>
      </c>
      <c r="IG37" s="242" t="str">
        <f t="shared" si="115"/>
        <v/>
      </c>
      <c r="IH37" s="242" t="str">
        <f t="shared" si="116"/>
        <v/>
      </c>
      <c r="II37" s="242" t="str">
        <f t="shared" ca="1" si="13"/>
        <v>Zweites Gerät</v>
      </c>
      <c r="IJ37" s="242" t="str">
        <f ca="1">IF(II37=$IH$12,Stammdaten!$AY$27,IF(IL37=$A$2,TRIM(Stammdaten!$AX$25),""))</f>
        <v>nicht durchgeführt</v>
      </c>
      <c r="IK37" s="242" t="str">
        <f t="shared" ca="1" si="117"/>
        <v/>
      </c>
      <c r="IL37" s="200" t="str">
        <f t="shared" si="14"/>
        <v/>
      </c>
      <c r="IM37" s="202" t="str">
        <f t="shared" si="118"/>
        <v/>
      </c>
      <c r="IN37" s="202" t="str">
        <f t="shared" ca="1" si="119"/>
        <v/>
      </c>
      <c r="IO37" s="202" t="str">
        <f t="shared" ca="1" si="120"/>
        <v>StdDisziplinen[MaxTextSt]</v>
      </c>
      <c r="IP37" s="202" t="str">
        <f t="shared" ca="1" si="121"/>
        <v/>
      </c>
      <c r="IQ37" s="202" t="b">
        <f t="shared" si="122"/>
        <v>0</v>
      </c>
      <c r="IR37" s="242" t="str">
        <f t="shared" ca="1" si="15"/>
        <v>Drittes Gerät</v>
      </c>
      <c r="IS37" s="242" t="str">
        <f ca="1">IF(IR37=$IR$12,MID(Stammdaten!$AX$27,2,LEN(Stammdaten!$AX$27)),IF(IU37=$A$2,TRIM(Stammdaten!$AX$25),""))</f>
        <v>nicht durchgeführt</v>
      </c>
      <c r="IT37" s="242" t="str">
        <f t="shared" ca="1" si="16"/>
        <v/>
      </c>
      <c r="IU37" s="200" t="str">
        <f t="shared" si="17"/>
        <v/>
      </c>
      <c r="IV37" s="202" t="str">
        <f t="shared" si="123"/>
        <v/>
      </c>
      <c r="IW37" s="202" t="str">
        <f t="shared" ca="1" si="124"/>
        <v/>
      </c>
      <c r="IX37" s="202" t="str">
        <f t="shared" ca="1" si="125"/>
        <v>StdDisziplinen[MaxTextSt]</v>
      </c>
      <c r="IY37" s="202" t="str">
        <f t="shared" ca="1" si="18"/>
        <v/>
      </c>
      <c r="IZ37" s="200" t="str">
        <f>IF(NOT(GW37),INDEX(StdFehler[StdFehler],4),IF(COUNTIF(GX37:GZ37,$A$2)&gt;=$IZ$4,$A$3,SUM(GX37:GZ37)))</f>
        <v>Zu wenige Noten</v>
      </c>
      <c r="JA37" s="31"/>
      <c r="JB37" s="587" t="e">
        <f t="shared" si="19"/>
        <v>#VALUE!</v>
      </c>
      <c r="JC37" s="191" t="str">
        <f>IF(OR(Geschlecht[[#This Row],[Geschlecht (Skala)]]="",IZ37=""),"",MID(Geschlecht[[#This Row],[Geschlecht (Skala)]],1,1)&amp;MID($FE$16,1,1))</f>
        <v/>
      </c>
      <c r="JD37" s="190" t="str">
        <f>IF(OR(JC37="",IZ37=""),"",REPLACE(INDEX(StdDisziplinen[TabÜberschriftResultat],$FE$3),FIND("X",INDEX(StdDisziplinen[TabÜberschriftResultat],$FE$3),1),2,JC37))</f>
        <v/>
      </c>
      <c r="JE37" s="192" t="str">
        <f ca="1">IF(OR(JD37="",IZ37=Stammdaten!$AZ$5),"",IF(OR(IZ37=Stammdaten!$AX$22,IZ37=Stammdaten!$AX$19),Stammdaten!$AX$19,IF(ISNA(INDEX(INDIRECT(JD37),MATCH(GeräteturnenGerundet[[#This Row],[Rundung]],INDIRECT(JD37),$JD$16))),IF($JD$16=-1,LARGE(INDIRECT(JD37),1),SMALL(INDIRECT(JD37),1)),INDEX(INDIRECT(JD37),MATCH(GeräteturnenGerundet[[#This Row],[Rundung]],INDIRECT(JD37),$JD$16)))))</f>
        <v/>
      </c>
      <c r="JG37" s="18" t="str">
        <f ca="1">IF(GeräteturnenSkalawert[[#This Row],[Skala-Wert]]="","",REPLACE(INDEX(StdDisziplinen[TabÜberschriftNote],$FE$3),FIND("X",INDEX(StdDisziplinen[TabÜberschriftNote],$FE$3),1),2,JC37))</f>
        <v/>
      </c>
      <c r="JH37" s="45" t="str">
        <f ca="1">IF(OR(JG37="",GeräteturnenSkalawert[[#This Row],[Skala-Wert]]=Stammdaten!$AX$19),"",INDEX(INDIRECT(JG37),MATCH(GeräteturnenSkalawert[[#This Row],[Skala-Wert]],INDIRECT(JD37),0)))</f>
        <v/>
      </c>
      <c r="JI37" s="31"/>
      <c r="JJ37" s="597"/>
      <c r="JK37" s="190"/>
      <c r="JL37" s="587">
        <f>IF(JL$16,IF(JM$16=0.5,MROUND(ParkourResultat[[#This Row],[Resultat]],JM$16),ROUND(ParkourResultat[[#This Row],[Resultat]],JM$16)),ROUNDDOWN(ParkourResultat[[#This Row],[Resultat]],JM$16))</f>
        <v>0</v>
      </c>
      <c r="JM37" s="191" t="str">
        <f>IF(OR(Geschlecht[[#This Row],[Geschlecht (Skala)]]="",JJ$16=""),"",MID(Geschlecht[[#This Row],[Geschlecht (Skala)]],1,1)&amp;MID(JJ$16,1,1))</f>
        <v/>
      </c>
      <c r="JN37" s="190" t="str">
        <f>IF(OR(JM37="",ParkourResultat[[#This Row],[Resultat]]=""),"",REPLACE(INDEX(StdDisziplinen[TabÜberschriftResultat],JJ$3),FIND("X",INDEX(StdDisziplinen[TabÜberschriftResultat],JJ$3),1),2,JM37))</f>
        <v/>
      </c>
      <c r="JO37" s="192" t="str">
        <f ca="1">IF(JN37="","",IF(OR(ParkourResultat[[#This Row],[Resultat]]=Stammdaten!$AX$22,ParkourResultat[[#This Row],[Resultat]]=Stammdaten!$AX$19),Stammdaten!$AX$19,IF(ISNA(INDEX(INDIRECT(JN37),MATCH(ParkourGerundet[[#This Row],[Rundung]],INDIRECT(JN37),JN$18))),IF(JN$18=-1,LARGE(INDIRECT(JN37),1),SMALL(INDIRECT(JN37),1)),INDEX(INDIRECT(JN37),MATCH(ParkourGerundet[[#This Row],[Rundung]],INDIRECT(JN37),JN$18)))))</f>
        <v/>
      </c>
      <c r="JQ37" s="18" t="str">
        <f ca="1">IF(ParkourSkalawert[[#This Row],[Skala-Wert]]="","",REPLACE(INDEX(StdDisziplinen[TabÜberschriftNote],JJ$3),FIND("X",INDEX(StdDisziplinen[TabÜberschriftNote],JJ$3),1),2,JM37))</f>
        <v/>
      </c>
      <c r="JR37" s="31" t="str">
        <f ca="1">IF(OR(JQ37="",ParkourSkalawert[[#This Row],[Skala-Wert]]=Stammdaten!$AX$19),"",INDEX(INDIRECT(JQ37),MATCH(ParkourSkalawert[[#This Row],[Skala-Wert]],INDIRECT(JN37),0)))</f>
        <v/>
      </c>
      <c r="JS37" s="96"/>
      <c r="JT37" s="47" t="str">
        <f ca="1">IF(OR(ISNUMBER(ParkourSkalawert[[#This Row],[Skala-Wert]]),ParkourSkalawert[[#This Row],[Skala-Wert]]=$A$3),INDEX(INDIRECT($JU$1),MATCH($JJ$3,INDIRECT($B$5),0)),"")</f>
        <v/>
      </c>
      <c r="JU37" s="200" t="str">
        <f t="shared" ca="1" si="126"/>
        <v>StdDisziplinen[MaxTextSt]</v>
      </c>
      <c r="JV37" s="200" t="str">
        <f t="shared" ca="1" si="127"/>
        <v/>
      </c>
      <c r="JW37" s="98">
        <f ca="1">IF(GeräteturnenSkalawert[[#This Row],[Skala-Wert]]=$A$3,$A$2,IF(GeräteturnenNote[[#This Row],[Note]]="",0,GeräteturnenNote[[#This Row],[Note]]))</f>
        <v>0</v>
      </c>
      <c r="JX37" s="96">
        <f ca="1">IF(ParkourSkalawert[[#This Row],[Skala-Wert]]=$A$3,$A$2,IF(ParkourNote[[#This Row],[Note]]="",0,ParkourNote[[#This Row],[Note]]))</f>
        <v>0</v>
      </c>
      <c r="JY37" s="200">
        <f t="shared" ca="1" si="128"/>
        <v>0</v>
      </c>
      <c r="JZ37" s="200">
        <f t="shared" ca="1" si="129"/>
        <v>0</v>
      </c>
      <c r="KA37" s="202">
        <f t="shared" ca="1" si="130"/>
        <v>0</v>
      </c>
      <c r="KB37" s="98" t="str">
        <f t="shared" ca="1" si="20"/>
        <v>!</v>
      </c>
      <c r="KC37" s="98" t="str">
        <f t="shared" ca="1" si="21"/>
        <v>!</v>
      </c>
      <c r="KD37" s="202" t="str">
        <f ca="1">IF(NOT(KA37),INDEX(StdFehler[StdFehler],4),IF(JZ37=$KA$12,$A$3,IF(JW37=$A$2,JX37,IF(JX37=$A$2,JW37,CONCATENATE(JW37,", ",JX37)))))</f>
        <v>Zu wenige Noten</v>
      </c>
      <c r="KE37" s="202" t="str">
        <f t="shared" ca="1" si="131"/>
        <v>Zu wenige Noten</v>
      </c>
      <c r="KF37" s="31"/>
      <c r="KG37" s="56" t="str">
        <f ca="1">IF(NOT(KA37),INDEX(StdFehler[StdFehler],4),IF(JZ37=$KA$12,$A$3,ROUND(AVERAGE(KB37:KC37)/$KG$4,0)*$KG$4))</f>
        <v>Zu wenige Noten</v>
      </c>
      <c r="KH37" s="31"/>
      <c r="KI37" s="599"/>
      <c r="KJ37" s="190"/>
      <c r="KK37" s="586">
        <f>IF(KK$16,IF(KL$16=0.5,MROUND(TanzenResultat[[#This Row],[Resultat]],KL$16),ROUND(TanzenResultat[[#This Row],[Resultat]],KL$16)),ROUNDDOWN(TanzenResultat[[#This Row],[Resultat]],KL$16))</f>
        <v>0</v>
      </c>
      <c r="KL37" s="191" t="str">
        <f>IF(OR(Geschlecht[[#This Row],[Geschlecht (Skala)]]="",KI$16=""),"",MID(Geschlecht[[#This Row],[Geschlecht (Skala)]],1,1)&amp;MID(KI$16,1,1))</f>
        <v/>
      </c>
      <c r="KM37" s="190" t="str">
        <f>IF(OR(KL37="",TanzenResultat[[#This Row],[Resultat]]=""),"",REPLACE(INDEX(StdDisziplinen[TabÜberschriftResultat],KI$3),FIND("X",INDEX(StdDisziplinen[TabÜberschriftResultat],KI$3),1),2,KL37))</f>
        <v/>
      </c>
      <c r="KN37" s="31" t="str">
        <f ca="1">IF(KM37="","",IF(OR(TanzenResultat[[#This Row],[Resultat]]=Stammdaten!$AX$22,TanzenResultat[[#This Row],[Resultat]]=Stammdaten!$AX$19),Stammdaten!$AX$19,IF(ISNA(INDEX(INDIRECT(KM37),MATCH(TanzenGerundet[[#This Row],[Rundung]],INDIRECT(KM37),KM$18))),IF(KM$18=-1,LARGE(INDIRECT(KM37),1),SMALL(INDIRECT(KM37),1)),INDEX(INDIRECT(KM37),MATCH(TanzenGerundet[[#This Row],[Rundung]],INDIRECT(KM37),KM$18)))))</f>
        <v/>
      </c>
      <c r="KP37" s="18" t="str">
        <f ca="1">IF(TanzenSkalawert[[#This Row],[Skala-Wert]]="","",REPLACE(INDEX(StdDisziplinen[TabÜberschriftNote],KI$3),FIND("X",INDEX(StdDisziplinen[TabÜberschriftNote],KI$3),1),2,KL37))</f>
        <v/>
      </c>
      <c r="KQ37" s="45" t="str">
        <f ca="1">IF(OR(KP37="",TanzenSkalawert[[#This Row],[Skala-Wert]]=Stammdaten!$AX$19),"",INDEX(INDIRECT(KP37),MATCH(TanzenSkalawert[[#This Row],[Skala-Wert]],INDIRECT(KM37),0)))</f>
        <v/>
      </c>
      <c r="KR37" s="31"/>
      <c r="KS37" s="597"/>
      <c r="KT37" s="190"/>
      <c r="KU37" s="587">
        <f>IF(KU$16,IF(KV$16=0.5,MROUND(RopeSkippingResultat[[#This Row],[Resultat]],KV$16),ROUND(RopeSkippingResultat[[#This Row],[Resultat]],KV$16)),ROUNDDOWN(RopeSkippingResultat[[#This Row],[Resultat]],KV$16))</f>
        <v>0</v>
      </c>
      <c r="KV37" s="191" t="str">
        <f>IF(OR(Geschlecht[[#This Row],[Geschlecht (Skala)]]="",KS$16=""),"",MID(Geschlecht[[#This Row],[Geschlecht (Skala)]],1,1)&amp;MID(KS$16,1,1))</f>
        <v/>
      </c>
      <c r="KW37" s="190" t="str">
        <f>IF(OR(KV37="",RopeSkippingResultat[[#This Row],[Resultat]]=""),"",REPLACE(INDEX(StdDisziplinen[TabÜberschriftResultat],KS$3),FIND("X",INDEX(StdDisziplinen[TabÜberschriftResultat],KS$3),1),2,KV37))</f>
        <v/>
      </c>
      <c r="KX37" s="192" t="str">
        <f ca="1">IF(KW37="","",IF(OR(RopeSkippingResultat[[#This Row],[Resultat]]=Stammdaten!$AX$22,RopeSkippingResultat[[#This Row],[Resultat]]=Stammdaten!$AX$19),Stammdaten!$AX$19,IF(ISNA(INDEX(INDIRECT(KW37),MATCH(RopeSkippingGerundet[[#This Row],[Rundung]],INDIRECT(KW37),KW$18))),IF(KW$18=-1,LARGE(INDIRECT(KW37),1),SMALL(INDIRECT(KW37),1)),INDEX(INDIRECT(KW37),MATCH(RopeSkippingGerundet[[#This Row],[Rundung]],INDIRECT(KW37),KW$18)))))</f>
        <v/>
      </c>
      <c r="KZ37" s="18" t="str">
        <f ca="1">IF(RopeSkippingSkalawert[[#This Row],[Skala-Wert]]="","",REPLACE(INDEX(StdDisziplinen[TabÜberschriftNote],KS$3),FIND("X",INDEX(StdDisziplinen[TabÜberschriftNote],KS$3),1),2,KV37))</f>
        <v/>
      </c>
      <c r="LA37" s="45" t="str">
        <f ca="1">IF(OR(KZ37="",RopeSkippingSkalawert[[#This Row],[Skala-Wert]]=Stammdaten!$AX$19),"",INDEX(INDIRECT(KZ37),MATCH(RopeSkippingSkalawert[[#This Row],[Skala-Wert]],INDIRECT(KW37),0)))</f>
        <v/>
      </c>
      <c r="LB37" s="31"/>
      <c r="LC37" s="599"/>
      <c r="LD37" s="190"/>
      <c r="LE37" s="586">
        <f>IF(LE$16,IF(LF$16=0.5,MROUND(AerobicResultat[[#This Row],[Resultat]],LF$16),ROUND(AerobicResultat[[#This Row],[Resultat]],LF$16)),ROUNDDOWN(AerobicResultat[[#This Row],[Resultat]],LF$16))</f>
        <v>0</v>
      </c>
      <c r="LF37" s="191" t="str">
        <f>IF(OR(Geschlecht[[#This Row],[Geschlecht (Skala)]]="",LC$16=""),"",MID(Geschlecht[[#This Row],[Geschlecht (Skala)]],1,1)&amp;MID(LC$16,1,1))</f>
        <v/>
      </c>
      <c r="LG37" s="190" t="str">
        <f>IF(OR(LF37="",AerobicResultat[[#This Row],[Resultat]]=""),"",REPLACE(INDEX(StdDisziplinen[TabÜberschriftResultat],LC$3),FIND("X",INDEX(StdDisziplinen[TabÜberschriftResultat],LC$3),1),2,LF37))</f>
        <v/>
      </c>
      <c r="LH37" s="31" t="str">
        <f ca="1">IF(LG37="","",IF(OR(AerobicResultat[[#This Row],[Resultat]]=Stammdaten!$AX$22,AerobicResultat[[#This Row],[Resultat]]=Stammdaten!$AX$19),Stammdaten!$AX$19,IF(ISNA(INDEX(INDIRECT(LG37),MATCH(AerobicGerundet[[#This Row],[Rundung]],INDIRECT(LG37),LG$18))),IF(LG$18=-1,LARGE(INDIRECT(LG37),1),SMALL(INDIRECT(LG37),1)),INDEX(INDIRECT(LG37),MATCH(AerobicGerundet[[#This Row],[Rundung]],INDIRECT(LG37),LG$18)))))</f>
        <v/>
      </c>
      <c r="LJ37" s="18" t="str">
        <f ca="1">IF(AerobicSkalawert[[#This Row],[Skala-Wert]]="","",REPLACE(INDEX(StdDisziplinen[TabÜberschriftNote],LC$3),FIND("X",INDEX(StdDisziplinen[TabÜberschriftNote],LC$3),1),2,LF37))</f>
        <v/>
      </c>
      <c r="LK37" s="45" t="str">
        <f ca="1">IF(OR(LJ37="",AerobicSkalawert[[#This Row],[Skala-Wert]]=Stammdaten!$AX$19),"",INDEX(INDIRECT(LJ37),MATCH(AerobicSkalawert[[#This Row],[Skala-Wert]],INDIRECT(LG37),0)))</f>
        <v/>
      </c>
      <c r="LL37" s="31"/>
      <c r="LM37" s="45" t="str">
        <f ca="1">IF(TanzenSkalawert[[#This Row],[Skala-Wert]]=$A$3,$A$2,IF(ISNUMBER(TanzenSkalawert[[#This Row],[Skala-Wert]]),TanzenNote[[#This Row],[Note]],"!"))</f>
        <v>!</v>
      </c>
      <c r="LN37" s="45" t="str">
        <f ca="1">IF(RopeSkippingSkalawert[[#This Row],[Skala-Wert]]=$A$3,$A$2,IF(ISNUMBER(RopeSkippingSkalawert[[#This Row],[Skala-Wert]]),RopeSkippingNote[[#This Row],[Note]],"!"))</f>
        <v>!</v>
      </c>
      <c r="LO37" s="45" t="str">
        <f ca="1">IF(AerobicSkalawert[[#This Row],[Skala-Wert]]=$A$3,$A$2,IF(ISNUMBER(AerobicSkalawert[[#This Row],[Skala-Wert]]),AerobicNote[[#This Row],[Note]],"!"))</f>
        <v>!</v>
      </c>
      <c r="LP37" s="36">
        <f t="shared" ca="1" si="132"/>
        <v>0</v>
      </c>
      <c r="LQ37" s="36">
        <f t="shared" ca="1" si="133"/>
        <v>0</v>
      </c>
      <c r="LR37" s="244" t="str">
        <f t="shared" ca="1" si="22"/>
        <v>nd</v>
      </c>
      <c r="LS37" s="244" t="str">
        <f t="shared" ca="1" si="23"/>
        <v>nd</v>
      </c>
      <c r="LT37" s="244" t="str">
        <f t="shared" ca="1" si="24"/>
        <v>nd</v>
      </c>
      <c r="LU37" s="242" t="str">
        <f t="shared" ca="1" si="25"/>
        <v/>
      </c>
      <c r="LV37" s="242" t="str">
        <f t="shared" ca="1" si="134"/>
        <v/>
      </c>
      <c r="LW37" s="242" t="str">
        <f t="shared" ca="1" si="135"/>
        <v/>
      </c>
      <c r="LX37" s="242" t="str">
        <f ca="1">IF(LW37="",Stammdaten!$AM$4,INDEX(INDIRECT($B$4),MATCH($LW37,INDIRECT($B$5),0)))</f>
        <v>Darstellen und Tanzen</v>
      </c>
      <c r="LY37" s="242" t="str">
        <f ca="1">IF(LW37="",Stammdaten!$AY$27,IF(ISNUMBER(LU37),LX37,IF(ISNUMBER(LV37),TRIM(Stammdaten!$AX$25),"")))</f>
        <v>nicht durchgeführt</v>
      </c>
      <c r="LZ37" s="242" t="str">
        <f t="shared" ca="1" si="136"/>
        <v>Darstellen und Tanzen</v>
      </c>
      <c r="MA37" s="242" t="str">
        <f t="shared" ca="1" si="137"/>
        <v/>
      </c>
      <c r="MB37" s="242" t="str">
        <f t="shared" ca="1" si="26"/>
        <v>Darstellen und TanzenResultat[@Resultat]</v>
      </c>
      <c r="MC37" s="274" t="str">
        <f t="shared" ca="1" si="138"/>
        <v/>
      </c>
      <c r="MD37" s="242" t="str">
        <f t="shared" ca="1" si="139"/>
        <v>Darstellen und TanzenSkalawert[@[Skala-Wert]]</v>
      </c>
      <c r="ME37" s="274" t="str">
        <f t="shared" ca="1" si="140"/>
        <v/>
      </c>
      <c r="MF37" s="47" t="str">
        <f t="shared" ca="1" si="27"/>
        <v/>
      </c>
      <c r="MG37" s="200" t="str">
        <f t="shared" ca="1" si="141"/>
        <v>StdDisziplinen[MaxTextSt]</v>
      </c>
      <c r="MH37" s="200" t="str">
        <f t="shared" ca="1" si="142"/>
        <v/>
      </c>
      <c r="MI37" s="45"/>
      <c r="MJ37" s="98" t="str">
        <f ca="1">IF(LP37&gt;0,MAX(LM37:LO37),IF(LQ37&gt;0,$A$3,INDEX(StdFehler[StdFehler],4)))</f>
        <v>Zu wenige Noten</v>
      </c>
      <c r="MK37" s="45"/>
      <c r="ML37" s="37"/>
      <c r="MM37" s="190"/>
      <c r="MN37" s="586">
        <f>IF(MN$16,IF(MO$16=0.5,MROUND(BasketballResultat[[#This Row],[Resultat]],MO$16),ROUND(BasketballResultat[[#This Row],[Resultat]],MO$16)),ROUNDDOWN(BasketballResultat[[#This Row],[Resultat]],MO$16))</f>
        <v>0</v>
      </c>
      <c r="MO37" s="191" t="str">
        <f>IF(OR(Geschlecht[[#This Row],[Geschlecht (Skala)]]="",ML$16=""),"",MID(Geschlecht[[#This Row],[Geschlecht (Skala)]],1,1)&amp;MID(ML$16,1,1))</f>
        <v/>
      </c>
      <c r="MP37" s="190" t="str">
        <f>IF(OR(MO37="",BasketballResultat[[#This Row],[Resultat]]=""),"",REPLACE(INDEX(StdDisziplinen[TabÜberschriftResultat],ML$3),FIND("X",INDEX(StdDisziplinen[TabÜberschriftResultat],ML$3),1),2,MO37))</f>
        <v/>
      </c>
      <c r="MQ37" s="31" t="str">
        <f ca="1">IF(MP37="","",IF(OR(BasketballResultat[[#This Row],[Resultat]]=Stammdaten!$AX$22,BasketballResultat[[#This Row],[Resultat]]=Stammdaten!$AX$19),Stammdaten!$AX$19,IF(ISNA(INDEX(INDIRECT(MP37),MATCH(BasketballGerundet[[#This Row],[Rundung]],INDIRECT(MP37),MP$18))),IF(MP$18=-1,LARGE(INDIRECT(MP37),1),SMALL(INDIRECT(MP37),1)),INDEX(INDIRECT(MP37),MATCH(BasketballGerundet[[#This Row],[Rundung]],INDIRECT(MP37),MP$18)))))</f>
        <v/>
      </c>
      <c r="MS37" s="18" t="str">
        <f ca="1">IF(BasketballSkalawert[[#This Row],[Skala-Wert]]="","",REPLACE(INDEX(StdDisziplinen[TabÜberschriftNote],ML$3),FIND("X",INDEX(StdDisziplinen[TabÜberschriftNote],ML$3),1),2,MO37))</f>
        <v/>
      </c>
      <c r="MT37" s="31" t="str">
        <f ca="1">IF(OR(MS37="",BasketballSkalawert[[#This Row],[Skala-Wert]]=Stammdaten!$AX$19),"",INDEX(INDIRECT(MS37),MATCH(BasketballSkalawert[[#This Row],[Skala-Wert]],INDIRECT(MP37),0)))</f>
        <v/>
      </c>
      <c r="MU37" s="31"/>
      <c r="MV37" s="37"/>
      <c r="MW37" s="190"/>
      <c r="MX37" s="586">
        <f>IF(MX$16,IF(MY$16=0.5,MROUND(FussballResultat[[#This Row],[Resultat]],MY$16),ROUND(FussballResultat[[#This Row],[Resultat]],MY$16)),ROUNDDOWN(FussballResultat[[#This Row],[Resultat]],MY$16))</f>
        <v>0</v>
      </c>
      <c r="MY37" s="191" t="str">
        <f>IF(OR(Geschlecht[[#This Row],[Geschlecht (Skala)]]="",MV$16=""),"",MID(Geschlecht[[#This Row],[Geschlecht (Skala)]],1,1)&amp;MID(MV$16,1,1))</f>
        <v/>
      </c>
      <c r="MZ37" s="190" t="str">
        <f>IF(OR(MY37="",FussballResultat[[#This Row],[Resultat]]=""),"",REPLACE(INDEX(StdDisziplinen[TabÜberschriftResultat],MV$3),FIND("X",INDEX(StdDisziplinen[TabÜberschriftResultat],MV$3),1),2,MY37))</f>
        <v/>
      </c>
      <c r="NA37" s="31" t="str">
        <f ca="1">IF(MZ37="","",IF(OR(FussballResultat[[#This Row],[Resultat]]=Stammdaten!$AX$22,FussballResultat[[#This Row],[Resultat]]=Stammdaten!$AX$19),Stammdaten!$AX$19,IF(ISNA(INDEX(INDIRECT(MZ37),MATCH(FussballGerundet[[#This Row],[Rundung]],INDIRECT(MZ37),MZ$18))),IF(MZ$18=-1,LARGE(INDIRECT(MZ37),1),SMALL(INDIRECT(MZ37),1)),INDEX(INDIRECT(MZ37),MATCH(FussballGerundet[[#This Row],[Rundung]],INDIRECT(MZ37),MZ$18)))))</f>
        <v/>
      </c>
      <c r="NC37" s="18" t="str">
        <f ca="1">IF(FussballSkalawert[[#This Row],[Skala-Wert]]="","",REPLACE(INDEX(StdDisziplinen[TabÜberschriftNote],MV$3),FIND("X",INDEX(StdDisziplinen[TabÜberschriftNote],MV$3),1),2,MY37))</f>
        <v/>
      </c>
      <c r="ND37" s="31" t="str">
        <f ca="1">IF(OR(NC37="",FussballSkalawert[[#This Row],[Skala-Wert]]=Stammdaten!$AX$19),"",INDEX(INDIRECT(NC37),MATCH(FussballSkalawert[[#This Row],[Skala-Wert]],INDIRECT(MZ37),0)))</f>
        <v/>
      </c>
      <c r="NE37" s="31"/>
      <c r="NF37" s="37"/>
      <c r="NG37" s="190"/>
      <c r="NH37" s="586">
        <f>IF(NH$16,IF(NI$16=0.5,MROUND(HandballResultat[[#This Row],[Resultat]],NI$16),ROUND(HandballResultat[[#This Row],[Resultat]],NI$16)),ROUNDDOWN(HandballResultat[[#This Row],[Resultat]],NI$16))</f>
        <v>0</v>
      </c>
      <c r="NI37" s="191" t="str">
        <f>IF(OR(Geschlecht[[#This Row],[Geschlecht (Skala)]]="",NF$16=""),"",MID(Geschlecht[[#This Row],[Geschlecht (Skala)]],1,1)&amp;MID(NF$16,1,1))</f>
        <v/>
      </c>
      <c r="NJ37" s="190" t="str">
        <f>IF(OR(NI37="",HandballResultat[[#This Row],[Resultat]]=""),"",REPLACE(INDEX(StdDisziplinen[TabÜberschriftResultat],NF$3),FIND("X",INDEX(StdDisziplinen[TabÜberschriftResultat],NF$3),1),2,NI37))</f>
        <v/>
      </c>
      <c r="NK37" s="31" t="str">
        <f ca="1">IF(NJ37="","",IF(OR(HandballResultat[[#This Row],[Resultat]]=Stammdaten!$AX$22,HandballResultat[[#This Row],[Resultat]]=Stammdaten!$AX$19),Stammdaten!$AX$19,IF(ISNA(INDEX(INDIRECT(NJ37),MATCH(HandballGerundet[[#This Row],[Rundung]],INDIRECT(NJ37),NJ$18))),IF(NJ$18=-1,LARGE(INDIRECT(NJ37),1),SMALL(INDIRECT(NJ37),1)),INDEX(INDIRECT(NJ37),MATCH(HandballGerundet[[#This Row],[Rundung]],INDIRECT(NJ37),NJ$18)))))</f>
        <v/>
      </c>
      <c r="NM37" s="18" t="str">
        <f ca="1">IF(HandballSkalawert[[#This Row],[Skala-Wert]]="","",REPLACE(INDEX(StdDisziplinen[TabÜberschriftNote],NF$3),FIND("X",INDEX(StdDisziplinen[TabÜberschriftNote],NF$3),1),2,NI37))</f>
        <v/>
      </c>
      <c r="NN37" s="31" t="str">
        <f ca="1">IF(OR(NM37="",HandballSkalawert[[#This Row],[Skala-Wert]]=Stammdaten!$AX$19),"",INDEX(INDIRECT(NM37),MATCH(HandballSkalawert[[#This Row],[Skala-Wert]],INDIRECT(NJ37),0)))</f>
        <v/>
      </c>
      <c r="NO37" s="31"/>
      <c r="NP37" s="37"/>
      <c r="NQ37" s="190"/>
      <c r="NR37" s="586">
        <f>IF(NR$16,IF(NS$16=0.5,MROUND(UnihockeyResultat[[#This Row],[Resultat]],NS$16),ROUND(UnihockeyResultat[[#This Row],[Resultat]],NS$16)),ROUNDDOWN(UnihockeyResultat[[#This Row],[Resultat]],NS$16))</f>
        <v>0</v>
      </c>
      <c r="NS37" s="191" t="str">
        <f>IF(OR(Geschlecht[[#This Row],[Geschlecht (Skala)]]="",NP$16=""),"",MID(Geschlecht[[#This Row],[Geschlecht (Skala)]],1,1)&amp;MID(NP$16,1,1))</f>
        <v/>
      </c>
      <c r="NT37" s="190" t="str">
        <f>IF(OR(NS37="",UnihockeyResultat[[#This Row],[Resultat]]=""),"",REPLACE(INDEX(StdDisziplinen[TabÜberschriftResultat],NP$3),FIND("X",INDEX(StdDisziplinen[TabÜberschriftResultat],NP$3),1),2,NS37))</f>
        <v/>
      </c>
      <c r="NU37" s="31" t="str">
        <f ca="1">IF(NT37="","",IF(OR(UnihockeyResultat[[#This Row],[Resultat]]=Stammdaten!$AX$22,UnihockeyResultat[[#This Row],[Resultat]]=Stammdaten!$AX$19),Stammdaten!$AX$19,IF(ISNA(INDEX(INDIRECT(NT37),MATCH(UnihockeyGerundet[[#This Row],[Rundung]],INDIRECT(NT37),NT$18))),IF(NT$18=-1,LARGE(INDIRECT(NT37),1),SMALL(INDIRECT(NT37),1)),INDEX(INDIRECT(NT37),MATCH(UnihockeyGerundet[[#This Row],[Rundung]],INDIRECT(NT37),NT$18)))))</f>
        <v/>
      </c>
      <c r="NW37" s="18" t="str">
        <f ca="1">IF(UnihockeySkalawert[[#This Row],[Skala-Wert]]="","",REPLACE(INDEX(StdDisziplinen[TabÜberschriftNote],NP$3),FIND("X",INDEX(StdDisziplinen[TabÜberschriftNote],NP$3),1),2,NS37))</f>
        <v/>
      </c>
      <c r="NX37" s="31" t="str">
        <f ca="1">IF(OR(NW37="",UnihockeySkalawert[[#This Row],[Skala-Wert]]=Stammdaten!$AX$19),"",INDEX(INDIRECT(NW37),MATCH(UnihockeySkalawert[[#This Row],[Skala-Wert]],INDIRECT(NT37),0)))</f>
        <v/>
      </c>
      <c r="NY37" s="31"/>
      <c r="NZ37" s="597"/>
      <c r="OA37" s="190"/>
      <c r="OB37" s="587">
        <f>IF(OB$16,IF(OC$16=0.5,MROUND(VolleyballResultat[[#This Row],[Resultat]],OC$16),ROUND(VolleyballResultat[[#This Row],[Resultat]],OC$16)),ROUNDDOWN(VolleyballResultat[[#This Row],[Resultat]],OC$16))</f>
        <v>0</v>
      </c>
      <c r="OC37" s="191" t="str">
        <f>IF(OR(Geschlecht[[#This Row],[Geschlecht (Skala)]]="",NZ$16=""),"",MID(Geschlecht[[#This Row],[Geschlecht (Skala)]],1,1)&amp;MID(NZ$16,1,1))</f>
        <v/>
      </c>
      <c r="OD37" s="190" t="str">
        <f>IF(OR(OC37="",VolleyballResultat[[#This Row],[Resultat]]=""),"",REPLACE(INDEX(StdDisziplinen[TabÜberschriftResultat],NZ$3),FIND("X",INDEX(StdDisziplinen[TabÜberschriftResultat],NZ$3),1),2,OC37))</f>
        <v/>
      </c>
      <c r="OE37" s="192" t="str">
        <f ca="1">IF(OD37="","",IF(OR(VolleyballResultat[[#This Row],[Resultat]]=Stammdaten!$AX$22,VolleyballResultat[[#This Row],[Resultat]]=Stammdaten!$AX$19),Stammdaten!$AX$19,IF(ISNA(INDEX(INDIRECT(OD37),MATCH(VolleyballGerundet[[#This Row],[Rundung]],INDIRECT(OD37),OD$18))),IF(OD$18=-1,LARGE(INDIRECT(OD37),1),SMALL(INDIRECT(OD37),1)),INDEX(INDIRECT(OD37),MATCH(VolleyballGerundet[[#This Row],[Rundung]],INDIRECT(OD37),OD$18)))))</f>
        <v/>
      </c>
      <c r="OG37" s="18" t="str">
        <f ca="1">IF(VolleyballSkalawert[[#This Row],[Skala-Wert]]="","",REPLACE(INDEX(StdDisziplinen[TabÜberschriftNote],NZ$3),FIND("X",INDEX(StdDisziplinen[TabÜberschriftNote],NZ$3),1),2,OC37))</f>
        <v/>
      </c>
      <c r="OH37" s="31" t="str">
        <f ca="1">IF(OR(OG37="",VolleyballSkalawert[[#This Row],[Skala-Wert]]=Stammdaten!$AX$19),"",INDEX(INDIRECT(OG37),MATCH(VolleyballSkalawert[[#This Row],[Skala-Wert]],INDIRECT(OD37),0)))</f>
        <v/>
      </c>
      <c r="OI37" s="45"/>
      <c r="OJ37" s="31">
        <f ca="1">IF(BasketballSkalawert[[#This Row],[Skala-Wert]]=$A$3,$A$2,IF(BasketballNote[[#This Row],[Note]]="",0,BasketballNote[[#This Row],[Note]]))</f>
        <v>0</v>
      </c>
      <c r="OK37" s="31">
        <f ca="1">IF(FussballSkalawert[[#This Row],[Skala-Wert]]=$A$3,$A$2,IF(FussballNote[[#This Row],[Note]]="",0,FussballNote[[#This Row],[Note]]))</f>
        <v>0</v>
      </c>
      <c r="OL37" s="31">
        <f ca="1">IF(HandballSkalawert[[#This Row],[Skala-Wert]]=$A$3,$A$2,IF(HandballNote[[#This Row],[Note]]="",0,HandballNote[[#This Row],[Note]]))</f>
        <v>0</v>
      </c>
      <c r="OM37" s="31">
        <f ca="1">IF(UnihockeySkalawert[[#This Row],[Skala-Wert]]=$A$3,$A$2,IF(UnihockeyNote[[#This Row],[Note]]="",0,UnihockeyNote[[#This Row],[Note]]))</f>
        <v>0</v>
      </c>
      <c r="ON37" s="31">
        <f ca="1">IF(VolleyballSkalawert[[#This Row],[Skala-Wert]]=$A$3,$A$2,IF(VolleyballNote[[#This Row],[Note]]="",0,VolleyballNote[[#This Row],[Note]]))</f>
        <v>0</v>
      </c>
      <c r="OO37" s="202">
        <f t="shared" ca="1" si="28"/>
        <v>0</v>
      </c>
      <c r="OP37" s="202">
        <f t="shared" ca="1" si="29"/>
        <v>0</v>
      </c>
      <c r="OQ37" s="202">
        <f t="shared" ca="1" si="143"/>
        <v>0</v>
      </c>
      <c r="OR37" s="96" t="str">
        <f t="shared" ca="1" si="144"/>
        <v>!</v>
      </c>
      <c r="OS37" s="96" t="str">
        <f t="shared" ca="1" si="30"/>
        <v>!</v>
      </c>
      <c r="OT37" s="96" t="str">
        <f t="shared" ca="1" si="31"/>
        <v>!</v>
      </c>
      <c r="OU37" s="96" t="str">
        <f ca="1">IF(NOT(OQ37),INDEX(StdFehler[StdFehler],4),IF(COUNTIF(OR37:OT37,$A$2)&gt;=$OQ$13,$A$3,ROUND(AVERAGE(OR37:OT37)/$RX$4,0)*$RX$4))</f>
        <v>Zu wenige Noten</v>
      </c>
      <c r="OV37" s="244" t="str">
        <f t="shared" ca="1" si="145"/>
        <v>nd</v>
      </c>
      <c r="OW37" s="244" t="str">
        <f t="shared" ca="1" si="146"/>
        <v>nd</v>
      </c>
      <c r="OX37" s="244" t="str">
        <f t="shared" ca="1" si="147"/>
        <v>nd</v>
      </c>
      <c r="OY37" s="244" t="str">
        <f t="shared" ca="1" si="148"/>
        <v>nd</v>
      </c>
      <c r="OZ37" s="244" t="str">
        <f t="shared" ca="1" si="149"/>
        <v>nd</v>
      </c>
      <c r="PA37" s="202" t="b">
        <f t="shared" ca="1" si="150"/>
        <v>0</v>
      </c>
      <c r="PB37" s="202">
        <f t="shared" ca="1" si="151"/>
        <v>1</v>
      </c>
      <c r="PC37" s="202">
        <f t="shared" ca="1" si="152"/>
        <v>0</v>
      </c>
      <c r="PD37" s="96" t="str">
        <f t="shared" ca="1" si="153"/>
        <v/>
      </c>
      <c r="PE37" s="96" t="str">
        <f t="shared" ca="1" si="154"/>
        <v/>
      </c>
      <c r="PF37" s="200">
        <f t="shared" ca="1" si="155"/>
        <v>0</v>
      </c>
      <c r="PG37" s="202" t="str">
        <f t="shared" ca="1" si="156"/>
        <v/>
      </c>
      <c r="PH37" s="200" t="str">
        <f t="shared" ca="1" si="157"/>
        <v/>
      </c>
      <c r="PI37" s="200" t="str">
        <f t="shared" ca="1" si="158"/>
        <v/>
      </c>
      <c r="PJ37" s="200" t="str">
        <f t="shared" ca="1" si="159"/>
        <v/>
      </c>
      <c r="PK37" s="242" t="str">
        <f t="shared" ca="1" si="160"/>
        <v/>
      </c>
      <c r="PL37" s="242" t="str">
        <f t="shared" ca="1" si="161"/>
        <v/>
      </c>
      <c r="PM37" s="242" t="str">
        <f t="shared" ca="1" si="162"/>
        <v/>
      </c>
      <c r="PN37" s="242" t="str">
        <f t="shared" ca="1" si="163"/>
        <v>Erste Spielsportart</v>
      </c>
      <c r="PO37" s="242" t="str">
        <f ca="1">IF(PN37=$PM$11,Stammdaten!$AY$27,IF(PR37=$A$2,TRIM(Stammdaten!$AX$25),""))</f>
        <v>nicht durchgeführt</v>
      </c>
      <c r="PP37" s="242" t="str">
        <f t="shared" ca="1" si="164"/>
        <v/>
      </c>
      <c r="PQ37" s="202" t="str">
        <f t="shared" ca="1" si="165"/>
        <v>Erste SpielsportartResultat[@Resultat]</v>
      </c>
      <c r="PR37" s="98" t="str">
        <f t="shared" ca="1" si="166"/>
        <v/>
      </c>
      <c r="PS37" s="202" t="str">
        <f t="shared" ca="1" si="167"/>
        <v/>
      </c>
      <c r="PT37" s="202" t="str">
        <f t="shared" ca="1" si="168"/>
        <v>Erste SpielsportartSkalawert[@[Skala-Wert]]</v>
      </c>
      <c r="PU37" s="98" t="str">
        <f t="shared" ca="1" si="169"/>
        <v/>
      </c>
      <c r="PV37" s="202" t="str">
        <f t="shared" ca="1" si="170"/>
        <v/>
      </c>
      <c r="PW37" s="202" t="str">
        <f t="shared" ca="1" si="171"/>
        <v/>
      </c>
      <c r="PX37" s="202" t="str">
        <f t="shared" ca="1" si="172"/>
        <v>StdDisziplinen[MaxTextSt]</v>
      </c>
      <c r="PY37" s="202" t="str">
        <f t="shared" ca="1" si="173"/>
        <v/>
      </c>
      <c r="PZ37" s="202" t="b">
        <f t="shared" ca="1" si="174"/>
        <v>0</v>
      </c>
      <c r="QA37" s="202" t="str">
        <f t="shared" ca="1" si="175"/>
        <v/>
      </c>
      <c r="QB37" s="202" t="str">
        <f t="shared" ca="1" si="32"/>
        <v/>
      </c>
      <c r="QC37" s="202" t="str">
        <f t="shared" ca="1" si="176"/>
        <v/>
      </c>
      <c r="QD37" s="202" t="str">
        <f t="shared" ca="1" si="177"/>
        <v/>
      </c>
      <c r="QE37" s="242" t="str">
        <f t="shared" ca="1" si="178"/>
        <v/>
      </c>
      <c r="QF37" s="242" t="str">
        <f t="shared" ca="1" si="179"/>
        <v/>
      </c>
      <c r="QG37" s="242" t="str">
        <f t="shared" ca="1" si="180"/>
        <v>Zweite Spielsportart</v>
      </c>
      <c r="QH37" s="242" t="str">
        <f ca="1">IF(QG37=$QF$11,Stammdaten!$AY$27,IF(QK37=$A$2,TRIM(Stammdaten!$AX$25),""))</f>
        <v>nicht durchgeführt</v>
      </c>
      <c r="QI37" s="242" t="str">
        <f t="shared" ca="1" si="181"/>
        <v/>
      </c>
      <c r="QJ37" s="202" t="str">
        <f t="shared" ca="1" si="182"/>
        <v>Zweite SpielsportartResultat[@Resultat]</v>
      </c>
      <c r="QK37" s="98" t="str">
        <f t="shared" ca="1" si="183"/>
        <v/>
      </c>
      <c r="QL37" s="202" t="str">
        <f t="shared" ca="1" si="184"/>
        <v/>
      </c>
      <c r="QM37" s="202" t="str">
        <f t="shared" ca="1" si="185"/>
        <v>Zweite SpielsportartSkalawert[@[Skala-Wert]]</v>
      </c>
      <c r="QN37" s="98" t="str">
        <f t="shared" ca="1" si="186"/>
        <v/>
      </c>
      <c r="QO37" s="202" t="str">
        <f t="shared" ca="1" si="187"/>
        <v/>
      </c>
      <c r="QP37" s="202" t="str">
        <f t="shared" ca="1" si="188"/>
        <v/>
      </c>
      <c r="QQ37" s="202" t="str">
        <f t="shared" ca="1" si="189"/>
        <v>StdDisziplinen[MaxTextSt]</v>
      </c>
      <c r="QR37" s="202" t="str">
        <f t="shared" ca="1" si="190"/>
        <v/>
      </c>
      <c r="QS37" s="202" t="b">
        <f t="shared" ca="1" si="191"/>
        <v>0</v>
      </c>
      <c r="QT37" s="242" t="str">
        <f t="shared" ca="1" si="33"/>
        <v>Dritte Spielsportart</v>
      </c>
      <c r="QU37" s="242" t="str">
        <f ca="1">IF(QT37=$QT$11,MID(Stammdaten!$AX$27,2,LEN(Stammdaten!$AX$27)),IF(QX37=$A$2,TRIM(Stammdaten!$AX$25),""))</f>
        <v>nicht durchgeführt</v>
      </c>
      <c r="QV37" s="242" t="str">
        <f t="shared" ca="1" si="34"/>
        <v/>
      </c>
      <c r="QW37" s="202" t="str">
        <f t="shared" ca="1" si="192"/>
        <v>Dritte SpielsportartResultat[@Resultat]</v>
      </c>
      <c r="QX37" s="98" t="str">
        <f t="shared" ca="1" si="193"/>
        <v/>
      </c>
      <c r="QY37" s="202" t="str">
        <f t="shared" ca="1" si="35"/>
        <v/>
      </c>
      <c r="QZ37" s="202" t="str">
        <f t="shared" ca="1" si="194"/>
        <v>Dritte SpielsportartSkalawert[@[Skala-Wert]]</v>
      </c>
      <c r="RA37" s="98" t="str">
        <f t="shared" ca="1" si="224"/>
        <v/>
      </c>
      <c r="RB37" s="202" t="str">
        <f t="shared" ca="1" si="36"/>
        <v/>
      </c>
      <c r="RC37" s="202" t="str">
        <f t="shared" ca="1" si="196"/>
        <v/>
      </c>
      <c r="RD37" s="202" t="str">
        <f t="shared" ca="1" si="197"/>
        <v>StdDisziplinen[MaxTextSt]</v>
      </c>
      <c r="RE37" s="202" t="str">
        <f t="shared" ca="1" si="37"/>
        <v/>
      </c>
      <c r="RF37" s="244">
        <f t="shared" ca="1" si="38"/>
        <v>99</v>
      </c>
      <c r="RG37" s="244">
        <f t="shared" ca="1" si="39"/>
        <v>99</v>
      </c>
      <c r="RH37" s="244">
        <f t="shared" ca="1" si="40"/>
        <v>99</v>
      </c>
      <c r="RI37" s="244">
        <f t="shared" ca="1" si="41"/>
        <v>99</v>
      </c>
      <c r="RJ37" s="244">
        <f t="shared" ca="1" si="42"/>
        <v>99</v>
      </c>
      <c r="RK37" s="244">
        <f t="shared" ca="1" si="198"/>
        <v>99</v>
      </c>
      <c r="RL37" s="244">
        <f t="shared" ca="1" si="199"/>
        <v>99</v>
      </c>
      <c r="RM37" s="244">
        <f t="shared" ca="1" si="200"/>
        <v>99</v>
      </c>
      <c r="RN37" s="244">
        <f t="shared" ca="1" si="201"/>
        <v>99</v>
      </c>
      <c r="RO37" s="244">
        <f t="shared" ca="1" si="202"/>
        <v>99</v>
      </c>
      <c r="RP37" s="202" t="str">
        <f t="shared" ca="1" si="43"/>
        <v>Zu wenige Noten</v>
      </c>
      <c r="RQ37" s="202" t="str">
        <f t="shared" ca="1" si="203"/>
        <v>Zu wenige Noten</v>
      </c>
      <c r="RR37" s="202" t="str">
        <f t="shared" ca="1" si="203"/>
        <v>Zu wenige Noten</v>
      </c>
      <c r="RS37" s="202" t="str">
        <f t="shared" ca="1" si="204"/>
        <v>Zu wenige Noten</v>
      </c>
      <c r="RT37" s="202" t="str">
        <f t="shared" ca="1" si="204"/>
        <v>Zu wenige Noten</v>
      </c>
      <c r="RU37" s="202" t="str">
        <f t="shared" ca="1" si="205"/>
        <v>Zu wenige Noten</v>
      </c>
      <c r="RV37" s="202" t="str">
        <f t="shared" ca="1" si="206"/>
        <v>Zu wenige Noten</v>
      </c>
      <c r="RW37" s="31"/>
      <c r="RX37" s="56" t="str">
        <f t="shared" ca="1" si="44"/>
        <v>Zu wenige Noten</v>
      </c>
      <c r="RY37" s="31"/>
      <c r="RZ37" s="31" t="str">
        <f t="shared" ca="1" si="45"/>
        <v>Zu wenige Noten</v>
      </c>
      <c r="SA37" s="31" t="str">
        <f t="shared" ca="1" si="46"/>
        <v>Zu wenige Noten</v>
      </c>
      <c r="SB37" s="45" t="str">
        <f t="shared" ca="1" si="47"/>
        <v>Zu wenige Noten</v>
      </c>
      <c r="SC37" s="31" t="str">
        <f t="shared" ca="1" si="207"/>
        <v>Zu wenige Noten</v>
      </c>
      <c r="SD37" s="31" t="str">
        <f t="shared" ca="1" si="208"/>
        <v>Zu wenige Noten</v>
      </c>
      <c r="SE37" s="31" t="str">
        <f t="shared" ca="1" si="225"/>
        <v>Zu wenige Noten</v>
      </c>
      <c r="SF37" s="31" t="str">
        <f t="shared" ca="1" si="209"/>
        <v>Zu wenige Noten</v>
      </c>
      <c r="SG37" s="31" t="str">
        <f t="shared" ca="1" si="226"/>
        <v>Zu wenige Noten</v>
      </c>
      <c r="SH37" s="36">
        <f t="shared" ca="1" si="210"/>
        <v>0</v>
      </c>
      <c r="SI37" s="36">
        <f t="shared" ca="1" si="211"/>
        <v>0</v>
      </c>
      <c r="SJ37" s="36">
        <f t="shared" ca="1" si="212"/>
        <v>0</v>
      </c>
      <c r="SK37" s="31">
        <f t="shared" ca="1" si="213"/>
        <v>99</v>
      </c>
      <c r="SL37" s="31">
        <f t="shared" ca="1" si="214"/>
        <v>99</v>
      </c>
      <c r="SM37" s="36" t="str">
        <f t="shared" ca="1" si="215"/>
        <v>99.0</v>
      </c>
      <c r="SN37" s="31">
        <f t="shared" ca="1" si="216"/>
        <v>99</v>
      </c>
      <c r="SO37" s="36" t="str">
        <f ca="1">IF(NOT(SJ37),INDEX(StdFehler[StdFehler],4),IF(SI37=$SJ$13,$A$3,CONCATENATE(TEXT(SK37,"#.0"),", ",TEXT(SL37,"#.0"),", ",SM37,", ",TEXT(SN37,"#.0"))))</f>
        <v>Zu wenige Noten</v>
      </c>
      <c r="SP37" s="36" t="str">
        <f t="shared" ca="1" si="49"/>
        <v>Zu wenige Noten</v>
      </c>
      <c r="SQ37" s="36" t="str">
        <f t="shared" ca="1" si="49"/>
        <v>Zu wenige Noten</v>
      </c>
      <c r="SR37" s="36" t="str">
        <f t="shared" ca="1" si="49"/>
        <v>Zu wenige Noten</v>
      </c>
      <c r="SS37" s="36" t="str">
        <f t="shared" ca="1" si="49"/>
        <v>Zu wenige Noten</v>
      </c>
      <c r="ST37" s="36" t="str">
        <f t="shared" ca="1" si="217"/>
        <v>Zu wenige Noten</v>
      </c>
      <c r="SU37" s="36"/>
      <c r="SV37" s="214" t="str">
        <f t="shared" si="218"/>
        <v>D</v>
      </c>
      <c r="SW37" s="36"/>
      <c r="SX37" s="214" t="str">
        <f t="shared" si="219"/>
        <v>D</v>
      </c>
      <c r="SY37" s="36"/>
      <c r="SZ37" s="214" t="str">
        <f t="shared" si="220"/>
        <v>D</v>
      </c>
      <c r="TA37" s="36"/>
      <c r="TB37" s="214" t="str">
        <f t="shared" si="221"/>
        <v>D</v>
      </c>
      <c r="TC37" s="31"/>
      <c r="TD37" s="36" t="str">
        <f t="shared" ca="1" si="222"/>
        <v>Zu wenige Noten</v>
      </c>
      <c r="TE37" s="31"/>
      <c r="TF37" s="193" t="str">
        <f ca="1">IF(NOT(SJ37),INDEX(StdFehler[StdFehler],4),IF(SI37=$TF$4,$A$3,ROUND(AVERAGE(RZ37:SC37)/$TF$5,0)*$TF$5))</f>
        <v>Zu wenige Noten</v>
      </c>
      <c r="TH37" s="595" t="str">
        <f>IF(OR($TH$18=Stammdaten!$AX$20,$TH$18=""),Stammdaten!$AX$20,$TH$18)</f>
        <v>Disziplin</v>
      </c>
      <c r="TI37" s="33"/>
      <c r="TJ37" s="33" t="str">
        <f>IF(OR(Geschlecht[[#This Row],[Geschlecht (Skala)]]="",TH37="",TH37=Stammdaten!$AX$20),"",REPLACE(INDEX(StdDisziplinen[TabÜberschriftResultat],TH$3),FIND("XX",INDEX(StdDisziplinen[TabÜberschriftResultat],TH$3),1),2,Geschlecht[[#This Row],[Geschlecht (Skala)]]))</f>
        <v/>
      </c>
      <c r="TK37" s="596"/>
      <c r="TM37" s="37"/>
      <c r="TN37" s="40"/>
      <c r="TO37" s="587">
        <f>IF(TO$16,IF(TP$16=0.5,MROUND(SchwimmenResultat[[#This Row],[Resultat]],TP$16),ROUND(SchwimmenResultat[[#This Row],[Resultat]],TP$16)),ROUNDDOWN(SchwimmenResultat[[#This Row],[Resultat]],TP$16))</f>
        <v>0</v>
      </c>
      <c r="TP37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7" s="153" t="str">
        <f ca="1">IF(TP37="","",IF(OR(SchwimmenResultat[[#This Row],[Resultat]]=Stammdaten!$AX$22,SchwimmenResultat[[#This Row],[Resultat]]=Stammdaten!$AX$19),Stammdaten!$AX$19,IF(ISNA(INDEX(INDIRECT(TP37),MATCH(SchwimmenGerundet[[#This Row],[Rundung]],INDIRECT(TP37),TP$18))),IF(TP$18=-1,LARGE(INDIRECT(TP37),1),SMALL(INDIRECT(TP37),1)),INDEX(INDIRECT(TP37),MATCH(SchwimmenGerundet[[#This Row],[Rundung]],INDIRECT(TP37),TP$18)))))</f>
        <v/>
      </c>
      <c r="TR37" s="33" t="str">
        <f>IF(OR(TP37="",SchwimmenResultat[[#This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7" s="33"/>
      <c r="TT37" s="36" t="str">
        <f ca="1">IF(OR(TR37="",SchwimmenSkalawert[[#This Row],[Skala-Wert]]=Stammdaten!$AX$19),"",INDEX(INDIRECT(TR37),MATCH(SchwimmenSkalawert[[#This Row],[Skala-Wert]],INDIRECT(TP37),0)))</f>
        <v/>
      </c>
      <c r="TU37" s="36"/>
      <c r="TV37" s="190" t="str">
        <f>IF(ZwölfMinLaufHalleResultat[[#This Row],[Resultat]]=0,"",ZwölfMinLaufHalleResultat[[#This Row],[Resultat]])</f>
        <v/>
      </c>
      <c r="TW37" s="190"/>
      <c r="TX37" s="31" t="str">
        <f ca="1">ZwölfMinLaufHalleSkalawert[[#This Row],[Skala-Wert]]</f>
        <v/>
      </c>
      <c r="TZ37" s="31" t="str">
        <f ca="1">ZwölfMinLaufHalleNote[[#This Row],[Note]]</f>
        <v/>
      </c>
      <c r="UA37" s="31"/>
      <c r="UB37" s="190" t="str">
        <f>IF(ZwölfMinLaufimFreienResultat[[#This Row],[Resultat]]=0,"",ZwölfMinLaufimFreienResultat[[#This Row],[Resultat]])</f>
        <v/>
      </c>
      <c r="UC37" s="190"/>
      <c r="UD37" s="192" t="str">
        <f ca="1">ZwölfMinLaufimFreienSkalawert[[#This Row],[Skala-Wert]]</f>
        <v/>
      </c>
      <c r="UF37" s="31" t="str">
        <f ca="1">ZwölfMinLaufimFreienNote[[#This Row],[Note]]</f>
        <v/>
      </c>
      <c r="UG37" s="31"/>
      <c r="UH37" s="597"/>
      <c r="UI37" s="190"/>
      <c r="UJ37" s="587">
        <f>IF(UJ$16,IF(UK$16=0.5,MROUND(BeweglichkeitResultat[[#This Row],[Resultat]],UK$16),ROUND(BeweglichkeitResultat[[#This Row],[Resultat]],UK$16)),ROUNDDOWN(BeweglichkeitResultat[[#This Row],[Resultat]],UK$16))</f>
        <v>0</v>
      </c>
      <c r="UK37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7" s="192" t="str">
        <f ca="1">IF(UK37="","",IF(OR(BeweglichkeitResultat[[#This Row],[Resultat]]=Stammdaten!$AX$22,BeweglichkeitResultat[[#This Row],[Resultat]]=Stammdaten!$AX$19),Stammdaten!$AX$19,IF(ISNA(INDEX(INDIRECT(UK37),MATCH(BeweglichkeitGerundet[[#This Row],[Rundung]],INDIRECT(UK37),UK$18))),IF(UK$18=-1,LARGE(INDIRECT(UK37),1),SMALL(INDIRECT(UK37),1)),INDEX(INDIRECT(UK37),MATCH(BeweglichkeitGerundet[[#This Row],[Rundung]],INDIRECT(UK37),UK$18)))))</f>
        <v/>
      </c>
      <c r="UN37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7" s="36" t="str">
        <f ca="1">IF(OR(UK37="",BeweglichkeitSkalawert[[#This Row],[Skala-Wert]]=Stammdaten!$AX$19),"",INDEX(INDIRECT(UN37),MATCH(BeweglichkeitSkalawert[[#This Row],[Skala-Wert]],INDIRECT(UK37),0)))</f>
        <v/>
      </c>
      <c r="UP37" s="31"/>
      <c r="UQ37" s="597"/>
      <c r="UR37" s="190"/>
      <c r="US37" s="587">
        <f>IF(US$16,IF(UT$16=0.5,MROUND(RumpfkraftResultat[[#This Row],[Resultat]],UT$16),ROUND(RumpfkraftResultat[[#This Row],[Resultat]],UT$16)),ROUNDDOWN(RumpfkraftResultat[[#This Row],[Resultat]],UT$16))</f>
        <v>0</v>
      </c>
      <c r="UT37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7" s="192" t="str">
        <f ca="1">IF(UT37="","",IF(OR(RumpfkraftResultat[[#This Row],[Resultat]]=Stammdaten!$AX$22,RumpfkraftResultat[[#This Row],[Resultat]]=Stammdaten!$AX$19),Stammdaten!$AX$19,IF(ISNA(INDEX(INDIRECT(UT37),MATCH(RumpfkraftGerundet[[#This Row],[Rundung]],INDIRECT(UT37),UT$18))),IF(UT$18=-1,LARGE(INDIRECT(UT37),1),SMALL(INDIRECT(UT37),1)),INDEX(INDIRECT(UT37),MATCH(RumpfkraftGerundet[[#This Row],[Rundung]],INDIRECT(UT37),UT$18)))))</f>
        <v/>
      </c>
      <c r="UW37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7" s="36" t="str">
        <f ca="1">IF(OR(UT37="",RumpfkraftSkalawert[[#This Row],[Skala-Wert]]=Stammdaten!$AX$19),"",INDEX(INDIRECT(UW37),MATCH(RumpfkraftSkalawert[[#This Row],[Skala-Wert]],INDIRECT(UT37),0)))</f>
        <v/>
      </c>
      <c r="UY37" s="31"/>
      <c r="UZ37" s="190" t="str">
        <f>IF(SechzigmLaufResultat[[#This Row],[Resultat]]=0,"",SechzigmLaufResultat[[#This Row],[Resultat]])</f>
        <v/>
      </c>
      <c r="VA37" s="190"/>
      <c r="VB37" s="45" t="str">
        <f ca="1">SechzigmLaufSkalawert[[#This Row],[Skala-Wert]]</f>
        <v/>
      </c>
      <c r="VD37" s="31" t="str">
        <f ca="1">SechzigmLaufNote[[#This Row],[Note]]</f>
        <v/>
      </c>
      <c r="VE37" s="31"/>
      <c r="VF37" s="190" t="str">
        <f>IF(AchtzigmLaufResultat[[#This Row],[Resultat]]=0,"",AchtzigmLaufResultat[[#This Row],[Resultat]])</f>
        <v/>
      </c>
      <c r="VG37" s="190"/>
      <c r="VH37" s="45" t="str">
        <f ca="1">AchtzigmLaufSkalawert[[#This Row],[Skala-Wert]]</f>
        <v/>
      </c>
      <c r="VJ37" s="31" t="str">
        <f ca="1">AchtzigmLaufNote[[#This Row],[Note]]</f>
        <v/>
      </c>
      <c r="VK37" s="31"/>
      <c r="VL37" s="37"/>
      <c r="VM37" s="190"/>
      <c r="VN37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7" s="191" t="str">
        <f>IF(OR(Geschlecht[[#This Row],[Geschlecht (Skala)]]="",VL$16=""),"",MID(Geschlecht[[#This Row],[Geschlecht (Skala)]],1,1)&amp;MID(VL$16,1,1))</f>
        <v/>
      </c>
      <c r="VP37" s="190" t="str">
        <f>IF(OR(VO37="",KonditionsparcoursResultat[[#This Row],[Resultat]]=""),"",REPLACE(INDEX(StdDisziplinen[TabÜberschriftResultat],VL$3),FIND("X",INDEX(StdDisziplinen[TabÜberschriftResultat],VL$3),1),2,VO37))</f>
        <v/>
      </c>
      <c r="VQ37" s="192" t="str">
        <f ca="1">IF(VP37="","",IF(OR(KonditionsparcoursResultat[[#This Row],[Resultat]]=Stammdaten!$AX$22,KonditionsparcoursResultat[[#This Row],[Resultat]]=Stammdaten!$AX$19),Stammdaten!$AX$19,IF(ISNA(INDEX(INDIRECT(VP37),MATCH(KonditionsparcoursGerundet[[#This Row],[Rundung]],INDIRECT(VP37),VP$18))),IF(VP$18=-1,LARGE(INDIRECT(VP37),1),SMALL(INDIRECT(VP37),1)),INDEX(INDIRECT(VP37),MATCH(KonditionsparcoursGerundet[[#This Row],[Rundung]],INDIRECT(VP37),VP$18)))))</f>
        <v/>
      </c>
      <c r="VS37" s="18" t="str">
        <f ca="1">IF(KonditionsparcoursSkalawert[[#This Row],[Skala-Wert]]="","",REPLACE(INDEX(StdDisziplinen[TabÜberschriftNote],VL$3),FIND("X",INDEX(StdDisziplinen[TabÜberschriftNote],VL$3),1),2,VO37))</f>
        <v/>
      </c>
      <c r="VT37" s="31" t="str">
        <f ca="1">IF(OR(VS37="",KonditionsparcoursSkalawert[[#This Row],[Skala-Wert]]=Stammdaten!$AX$19),"",INDEX(INDIRECT(VS37),MATCH(KonditionsparcoursSkalawert[[#This Row],[Skala-Wert]],INDIRECT(VP37),0)))</f>
        <v/>
      </c>
      <c r="VU37" s="22"/>
    </row>
    <row r="38" spans="1:593" x14ac:dyDescent="0.3">
      <c r="A38" s="30">
        <v>20</v>
      </c>
      <c r="B38" s="589"/>
      <c r="C38" s="589"/>
      <c r="E38" s="591"/>
      <c r="G38" s="37"/>
      <c r="H38" s="190"/>
      <c r="I38" s="154">
        <f>IF(I$16,IF(J$16=0.5,MROUND(SechzigmLaufResultat[[#This Row],[Resultat]],J$16),ROUND(SechzigmLaufResultat[[#This Row],[Resultat]],J$16)),ROUNDDOWN(SechzigmLaufResultat[[#This Row],[Resultat]],J$16))</f>
        <v>0</v>
      </c>
      <c r="J38" s="191" t="str">
        <f>IF(OR(Geschlecht[[#This Row],[Geschlecht (Skala)]]="",G$16=""),"",MID(Geschlecht[[#This Row],[Geschlecht (Skala)]],1,1)&amp;MID(G$16,1,1))</f>
        <v/>
      </c>
      <c r="K38" s="190" t="str">
        <f>IF(OR(J38="",SechzigmLaufResultat[[#This Row],[Resultat]]=""),"",REPLACE(INDEX(StdDisziplinen[TabÜberschriftResultat],G$3),FIND("X",INDEX(StdDisziplinen[TabÜberschriftResultat],G$3),1),2,J38))</f>
        <v/>
      </c>
      <c r="L38" s="45" t="str">
        <f ca="1">IF(K38="","",IF(OR(SechzigmLaufResultat[[#This Row],[Resultat]]=Stammdaten!$AX$22,SechzigmLaufResultat[[#This Row],[Resultat]]=Stammdaten!$AX$19),Stammdaten!$AX$19,IF(ISNA(INDEX(INDIRECT(K38),MATCH(SechzigmLaufGerundet[[#This Row],[Rundung]],INDIRECT(K38),K$18))),IF(K$18=-1,LARGE(INDIRECT(K38),1),SMALL(INDIRECT(K38),1)),INDEX(INDIRECT(K38),MATCH(SechzigmLaufGerundet[[#This Row],[Rundung]],INDIRECT(K38),K$18)))))</f>
        <v/>
      </c>
      <c r="N38" s="18" t="str">
        <f ca="1">IF(SechzigmLaufSkalawert[[#This Row],[Skala-Wert]]="","",REPLACE(INDEX(StdDisziplinen[TabÜberschriftNote],G$3),FIND("X",INDEX(StdDisziplinen[TabÜberschriftNote],G$3),1),2,J38))</f>
        <v/>
      </c>
      <c r="O38" s="31" t="str">
        <f ca="1">IF(OR(N38="",SechzigmLaufSkalawert[[#This Row],[Skala-Wert]]=Stammdaten!$AX$19),"",INDEX(INDIRECT(N38),MATCH(SechzigmLaufSkalawert[[#This Row],[Skala-Wert]],INDIRECT(K38),0)))</f>
        <v/>
      </c>
      <c r="P38" s="31"/>
      <c r="Q38" s="37"/>
      <c r="R38" s="190"/>
      <c r="S38" s="154">
        <f>IF(S$16,IF(T$16=0.5,MROUND(AchtzigmLaufResultat[[#This Row],[Resultat]],T$16),ROUND(AchtzigmLaufResultat[[#This Row],[Resultat]],T$16)),ROUNDDOWN(AchtzigmLaufResultat[[#This Row],[Resultat]],T$16))</f>
        <v>0</v>
      </c>
      <c r="T38" s="191" t="str">
        <f>IF(OR(Geschlecht[[#This Row],[Geschlecht (Skala)]]="",Q$16=""),"",MID(Geschlecht[[#This Row],[Geschlecht (Skala)]],1,1)&amp;MID(Q$16,1,1))</f>
        <v/>
      </c>
      <c r="U38" s="190" t="str">
        <f>IF(OR(T38="",AchtzigmLaufResultat[[#This Row],[Resultat]]=""),"",REPLACE(INDEX(StdDisziplinen[TabÜberschriftResultat],Q$3),FIND("X",INDEX(StdDisziplinen[TabÜberschriftResultat],Q$3),1),2,T38))</f>
        <v/>
      </c>
      <c r="V38" s="45" t="str">
        <f ca="1">IF(U38="","",IF(OR(AchtzigmLaufResultat[[#This Row],[Resultat]]=Stammdaten!$AX$22,AchtzigmLaufResultat[[#This Row],[Resultat]]=Stammdaten!$AX$19),Stammdaten!$AX$19,IF(ISNA(INDEX(INDIRECT(U38),MATCH(AchtzigmLaufGerundet[[#This Row],[Rundung]],INDIRECT(U38),U$18))),IF(U$18=-1,LARGE(INDIRECT(U38),1),SMALL(INDIRECT(U38),1)),INDEX(INDIRECT(U38),MATCH(AchtzigmLaufGerundet[[#This Row],[Rundung]],INDIRECT(U38),U$18)))))</f>
        <v/>
      </c>
      <c r="X38" s="18" t="str">
        <f ca="1">IF(AchtzigmLaufSkalawert[[#This Row],[Skala-Wert]]="","",REPLACE(INDEX(StdDisziplinen[TabÜberschriftNote],Q$3),FIND("X",INDEX(StdDisziplinen[TabÜberschriftNote],Q$3),1),2,T38))</f>
        <v/>
      </c>
      <c r="Y38" s="31" t="str">
        <f ca="1">IF(OR(X38="",AchtzigmLaufSkalawert[[#This Row],[Skala-Wert]]=Stammdaten!$AX$19),"",INDEX(INDIRECT(X38),MATCH(AchtzigmLaufSkalawert[[#This Row],[Skala-Wert]],INDIRECT(U38),0)))</f>
        <v/>
      </c>
      <c r="Z38" s="31"/>
      <c r="AA38" s="37"/>
      <c r="AB38" s="190"/>
      <c r="AC38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8" s="191" t="str">
        <f>IF(OR(Geschlecht[[#This Row],[Geschlecht (Skala)]]="",AA$16=""),"",MID(Geschlecht[[#This Row],[Geschlecht (Skala)]],1,1)&amp;MID(AA$16,1,1))</f>
        <v/>
      </c>
      <c r="AE38" s="190" t="str">
        <f>IF(OR(AD38="",ZwölfMinLaufHalleResultat[[#This Row],[Resultat]]=""),"",REPLACE(INDEX(StdDisziplinen[TabÜberschriftResultat],AA$3),FIND("X",INDEX(StdDisziplinen[TabÜberschriftResultat],AA$3),1),2,AD38))</f>
        <v/>
      </c>
      <c r="AF38" s="31" t="str">
        <f ca="1">IF(AE38="","",IF(OR(ZwölfMinLaufHalleResultat[[#This Row],[Resultat]]=Stammdaten!$AX$22,ZwölfMinLaufHalleResultat[[#This Row],[Resultat]]=Stammdaten!$AX$19),Stammdaten!$AX$19,IF(ISNA(INDEX(INDIRECT(AE38),MATCH(ZwölfMinLaufHalleGerundet[[#This Row],[Rundung]],INDIRECT(AE38),AE$18))),IF(AE$18=-1,LARGE(INDIRECT(AE38),1),SMALL(INDIRECT(AE38),1)),INDEX(INDIRECT(AE38),MATCH(ZwölfMinLaufHalleGerundet[[#This Row],[Rundung]],INDIRECT(AE38),AE$18)))))</f>
        <v/>
      </c>
      <c r="AH38" s="18" t="str">
        <f ca="1">IF(ZwölfMinLaufHalleSkalawert[[#This Row],[Skala-Wert]]="","",REPLACE(INDEX(StdDisziplinen[TabÜberschriftNote],AA$3),FIND("X",INDEX(StdDisziplinen[TabÜberschriftNote],AA$3),1),2,AD38))</f>
        <v/>
      </c>
      <c r="AI38" s="31" t="str">
        <f ca="1">IF(OR(AH38="",ZwölfMinLaufHalleSkalawert[[#This Row],[Skala-Wert]]=Stammdaten!$AX$19),"",INDEX(INDIRECT(AH38),MATCH(ZwölfMinLaufHalleSkalawert[[#This Row],[Skala-Wert]],INDIRECT(AE38),0)))</f>
        <v/>
      </c>
      <c r="AJ38" s="31"/>
      <c r="AK38" s="597"/>
      <c r="AL38" s="190"/>
      <c r="AM38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8" s="191" t="str">
        <f>IF(OR(Geschlecht[[#This Row],[Geschlecht (Skala)]]="",AK$16=""),"",MID(Geschlecht[[#This Row],[Geschlecht (Skala)]],1,1)&amp;MID(AK$16,1,1))</f>
        <v/>
      </c>
      <c r="AO38" s="190" t="str">
        <f>IF(OR(AN38="",ZwölfMinLaufimFreienResultat[[#This Row],[Resultat]]=""),"",REPLACE(INDEX(StdDisziplinen[TabÜberschriftResultat],AK$3),FIND("X",INDEX(StdDisziplinen[TabÜberschriftResultat],AK$3),1),2,AN38))</f>
        <v/>
      </c>
      <c r="AP38" s="192" t="str">
        <f ca="1">IF(AO38="","",IF(OR(ZwölfMinLaufimFreienResultat[[#This Row],[Resultat]]=Stammdaten!$AX$22,ZwölfMinLaufimFreienResultat[[#This Row],[Resultat]]=Stammdaten!$AX$19),Stammdaten!$AX$19,IF(ISNA(INDEX(INDIRECT(AO38),MATCH(ZwölfMinLaufimFreienGerundet[[#This Row],[Rundung]],INDIRECT(AO38),AO$18))),IF(AO$18=-1,LARGE(INDIRECT(AO38),1),SMALL(INDIRECT(AO38),1)),INDEX(INDIRECT(AO38),MATCH(ZwölfMinLaufimFreienGerundet[[#This Row],[Rundung]],INDIRECT(AO38),AO$18)))))</f>
        <v/>
      </c>
      <c r="AR38" s="18" t="str">
        <f ca="1">IF(ZwölfMinLaufimFreienSkalawert[[#This Row],[Skala-Wert]]="","",REPLACE(INDEX(StdDisziplinen[TabÜberschriftNote],AK$3),FIND("X",INDEX(StdDisziplinen[TabÜberschriftNote],AK$3),1),2,AN38))</f>
        <v/>
      </c>
      <c r="AS38" s="31" t="str">
        <f ca="1">IF(OR(AR38="",ZwölfMinLaufimFreienSkalawert[[#This Row],[Skala-Wert]]=Stammdaten!$AX$19),"",INDEX(INDIRECT(AR38),MATCH(ZwölfMinLaufimFreienSkalawert[[#This Row],[Skala-Wert]],INDIRECT(AO38),0)))</f>
        <v/>
      </c>
      <c r="AT38" s="31"/>
      <c r="AU38" s="597"/>
      <c r="AV38" s="190"/>
      <c r="AW38" s="587">
        <f>IF(AW$16,IF(AX$16=0.5,MROUND(HochsprungResultat[[#This Row],[Resultat]],AX$16),ROUND(HochsprungResultat[[#This Row],[Resultat]],AX$16)),ROUNDDOWN(HochsprungResultat[[#This Row],[Resultat]],AX$16))</f>
        <v>0</v>
      </c>
      <c r="AX38" s="191" t="str">
        <f>IF(OR(Geschlecht[[#This Row],[Geschlecht (Skala)]]="",AU$16=""),"",MID(Geschlecht[[#This Row],[Geschlecht (Skala)]],1,1)&amp;MID(AU$16,1,1))</f>
        <v/>
      </c>
      <c r="AY38" s="190" t="str">
        <f>IF(OR(AX38="",HochsprungResultat[[#This Row],[Resultat]]=""),"",REPLACE(INDEX(StdDisziplinen[TabÜberschriftResultat],AU$3),FIND("X",INDEX(StdDisziplinen[TabÜberschriftResultat],AU$3),1),2,AX38))</f>
        <v/>
      </c>
      <c r="AZ38" s="192" t="str">
        <f ca="1">IF(AY38="","",IF(OR(HochsprungResultat[[#This Row],[Resultat]]=Stammdaten!$AX$22,HochsprungResultat[[#This Row],[Resultat]]=Stammdaten!$AX$19),Stammdaten!$AX$19,IF(ISNA(INDEX(INDIRECT(AY38),MATCH(HochsprungGerundet[[#This Row],[Rundung]],INDIRECT(AY38),AY$18))),IF(AY$18=-1,LARGE(INDIRECT(AY38),1),SMALL(INDIRECT(AY38),1)),INDEX(INDIRECT(AY38),MATCH(HochsprungGerundet[[#This Row],[Rundung]],INDIRECT(AY38),AY$18)))))</f>
        <v/>
      </c>
      <c r="BB38" s="18" t="str">
        <f ca="1">IF(HochsprungSkalawert[[#This Row],[Skala-Wert]]="","",REPLACE(INDEX(StdDisziplinen[TabÜberschriftNote],AU$3),FIND("X",INDEX(StdDisziplinen[TabÜberschriftNote],AU$3),1),2,AX38))</f>
        <v/>
      </c>
      <c r="BC38" s="31" t="str">
        <f ca="1">IF(OR(BB38="",HochsprungSkalawert[[#This Row],[Skala-Wert]]=Stammdaten!$AX$19),"",INDEX(INDIRECT(BB38),MATCH(HochsprungSkalawert[[#This Row],[Skala-Wert]],INDIRECT(AY38),0)))</f>
        <v/>
      </c>
      <c r="BD38" s="31"/>
      <c r="BE38" s="597"/>
      <c r="BF38" s="190"/>
      <c r="BG38" s="587">
        <f>IF(BG$16,IF(BH$16=0.5,MROUND(WeitsprungResultat[[#This Row],[Resultat]],BH$16),ROUND(WeitsprungResultat[[#This Row],[Resultat]],BH$16)),ROUNDDOWN(WeitsprungResultat[[#This Row],[Resultat]],BH$16))</f>
        <v>0</v>
      </c>
      <c r="BH38" s="191" t="str">
        <f>IF(OR(Geschlecht[[#This Row],[Geschlecht (Skala)]]="",BE$16=""),"",MID(Geschlecht[[#This Row],[Geschlecht (Skala)]],1,1)&amp;MID(BE$16,1,1))</f>
        <v/>
      </c>
      <c r="BI38" s="190" t="str">
        <f>IF(OR(BH38="",WeitsprungResultat[[#This Row],[Resultat]]=""),"",REPLACE(INDEX(StdDisziplinen[TabÜberschriftResultat],BE$3),FIND("X",INDEX(StdDisziplinen[TabÜberschriftResultat],BE$3),1),2,BH38))</f>
        <v/>
      </c>
      <c r="BJ38" s="192" t="str">
        <f ca="1">IF(BI38="","",IF(OR(WeitsprungResultat[[#This Row],[Resultat]]=Stammdaten!$AX$22,WeitsprungResultat[[#This Row],[Resultat]]=Stammdaten!$AX$19),Stammdaten!$AX$19,IF(ISNA(INDEX(INDIRECT(BI38),MATCH(WeitsprungGerundet[[#This Row],[Rundung]],INDIRECT(BI38),BI$18))),IF(BI$18=-1,LARGE(INDIRECT(BI38),1),SMALL(INDIRECT(BI38),1)),INDEX(INDIRECT(BI38),MATCH(WeitsprungGerundet[[#This Row],[Rundung]],INDIRECT(BI38),BI$18)))))</f>
        <v/>
      </c>
      <c r="BL38" s="18" t="str">
        <f ca="1">IF(WeitsprungSkalawert[[#This Row],[Skala-Wert]]="","",REPLACE(INDEX(StdDisziplinen[TabÜberschriftNote],BE$3),FIND("X",INDEX(StdDisziplinen[TabÜberschriftNote],BE$3),1),2,BH38))</f>
        <v/>
      </c>
      <c r="BM38" s="31" t="str">
        <f ca="1">IF(OR(BL38="",WeitsprungSkalawert[[#This Row],[Skala-Wert]]=Stammdaten!$AX$19),"",INDEX(INDIRECT(BL38),MATCH(WeitsprungSkalawert[[#This Row],[Skala-Wert]],INDIRECT(BI38),0)))</f>
        <v/>
      </c>
      <c r="BN38" s="31"/>
      <c r="BO38" s="37"/>
      <c r="BP38" s="190"/>
      <c r="BQ38" s="154">
        <f>IF(BQ$16,IF(BR$16=0.5,MROUND(BallwurfResultat[[#This Row],[Resultat]],BR$16),ROUND(BallwurfResultat[[#This Row],[Resultat]],BR$16)),ROUNDDOWN(BallwurfResultat[[#This Row],[Resultat]],BR$16))</f>
        <v>0</v>
      </c>
      <c r="BR38" s="191" t="str">
        <f>IF(OR(Geschlecht[[#This Row],[Geschlecht (Skala)]]="",BO$16=""),"",MID(Geschlecht[[#This Row],[Geschlecht (Skala)]],1,1)&amp;MID(BO$16,1,1))</f>
        <v/>
      </c>
      <c r="BS38" s="190" t="str">
        <f>IF(OR(BR38="",BallwurfResultat[[#This Row],[Resultat]]=""),"",REPLACE(INDEX(StdDisziplinen[TabÜberschriftResultat],BO$3),FIND("X",INDEX(StdDisziplinen[TabÜberschriftResultat],BO$3),1),2,BR38))</f>
        <v/>
      </c>
      <c r="BT38" s="45" t="str">
        <f ca="1">IF(BS38="","",IF(OR(BallwurfResultat[[#This Row],[Resultat]]=Stammdaten!$AX$22,BallwurfResultat[[#This Row],[Resultat]]=Stammdaten!$AX$19),Stammdaten!$AX$19,IF(ISNA(INDEX(INDIRECT(BS38),MATCH(BallwurfGerundet[[#This Row],[Rundung]],INDIRECT(BS38),BS$18))),IF(BS$18=-1,LARGE(INDIRECT(BS38),1),SMALL(INDIRECT(BS38),1)),INDEX(INDIRECT(BS38),MATCH(BallwurfGerundet[[#This Row],[Rundung]],INDIRECT(BS38),BS$18)))))</f>
        <v/>
      </c>
      <c r="BV38" s="18" t="str">
        <f ca="1">IF(BallwurfSkalawert[[#This Row],[Skala-Wert]]="","",REPLACE(INDEX(StdDisziplinen[TabÜberschriftNote],BO$3),FIND("X",INDEX(StdDisziplinen[TabÜberschriftNote],BO$3),1),2,BR38))</f>
        <v/>
      </c>
      <c r="BW38" s="31" t="str">
        <f ca="1">IF(OR(BV38="",BallwurfSkalawert[[#This Row],[Skala-Wert]]=Stammdaten!$AX$19),"",INDEX(INDIRECT(BV38),MATCH(BallwurfSkalawert[[#This Row],[Skala-Wert]],INDIRECT(BS38),0)))</f>
        <v/>
      </c>
      <c r="BX38" s="31"/>
      <c r="BY38" s="598"/>
      <c r="BZ38" s="190"/>
      <c r="CA38" s="154">
        <f>IF(CA$16,IF(CB$16=0.5,MROUND(KugelstossenResultat[[#This Row],[Resultat]],CB$16),ROUND(KugelstossenResultat[[#This Row],[Resultat]],CB$16)),ROUNDDOWN(KugelstossenResultat[[#This Row],[Resultat]],CB$16))</f>
        <v>0</v>
      </c>
      <c r="CB38" s="191" t="str">
        <f>IF(OR(Geschlecht[[#This Row],[Geschlecht (Skala)]]="",BY$16=""),"",MID(Geschlecht[[#This Row],[Geschlecht (Skala)]],1,1)&amp;MID(BY$16,1,1))</f>
        <v/>
      </c>
      <c r="CC38" s="190" t="str">
        <f>IF(OR(CB38="",KugelstossenResultat[[#This Row],[Resultat]]=""),"",REPLACE(INDEX(StdDisziplinen[TabÜberschriftResultat],BY$3),FIND("X",INDEX(StdDisziplinen[TabÜberschriftResultat],BY$3),1),2,CB38))</f>
        <v/>
      </c>
      <c r="CD38" s="45" t="str">
        <f ca="1">IF(CC38="","",IF(OR(KugelstossenResultat[[#This Row],[Resultat]]=Stammdaten!$AX$22,KugelstossenResultat[[#This Row],[Resultat]]=Stammdaten!$AX$19),Stammdaten!$AX$19,IF(ISNA(INDEX(INDIRECT(CC38),MATCH(KugelstossenGerundet[[#This Row],[Rundung]],INDIRECT(CC38),CC$18))),IF(CC$18=-1,LARGE(INDIRECT(CC38),1),SMALL(INDIRECT(CC38),1)),INDEX(INDIRECT(CC38),MATCH(KugelstossenGerundet[[#This Row],[Rundung]],INDIRECT(CC38),CC$18)))))</f>
        <v/>
      </c>
      <c r="CF38" s="18" t="str">
        <f ca="1">IF(KugelstossenSkalawert[[#This Row],[Skala-Wert]]="","",REPLACE(INDEX(StdDisziplinen[TabÜberschriftNote],BY$3),FIND("X",INDEX(StdDisziplinen[TabÜberschriftNote],BY$3),1),2,CB38))</f>
        <v/>
      </c>
      <c r="CG38" s="31" t="str">
        <f ca="1">IF(OR(CF38="",KugelstossenSkalawert[[#This Row],[Skala-Wert]]=Stammdaten!$AX$19),"",INDEX(INDIRECT(CF38),MATCH(KugelstossenSkalawert[[#This Row],[Skala-Wert]],INDIRECT(CC38),0)))</f>
        <v/>
      </c>
      <c r="CH38" s="31"/>
      <c r="CI38" s="37"/>
      <c r="CJ38" s="190"/>
      <c r="CK38" s="154">
        <f>IF(CK$16,IF(CL$16=0.5,MROUND(SpeerwurfResultat[[#This Row],[Resultat]],CL$16),ROUND(SpeerwurfResultat[[#This Row],[Resultat]],CL$16)),ROUNDDOWN(SpeerwurfResultat[[#This Row],[Resultat]],CL$16))</f>
        <v>0</v>
      </c>
      <c r="CL38" s="191" t="str">
        <f>IF(OR(Geschlecht[[#This Row],[Geschlecht (Skala)]]="",CI$16=""),"",MID(Geschlecht[[#This Row],[Geschlecht (Skala)]],1,1)&amp;MID(CI$16,1,1))</f>
        <v/>
      </c>
      <c r="CM38" s="190" t="str">
        <f>IF(OR(CL38="",SpeerwurfResultat[[#This Row],[Resultat]]=""),"",REPLACE(INDEX(StdDisziplinen[TabÜberschriftResultat],CI$3),FIND("X",INDEX(StdDisziplinen[TabÜberschriftResultat],CI$3),1),2,CL38))</f>
        <v/>
      </c>
      <c r="CN38" s="45" t="str">
        <f ca="1">IF(CM38="","",IF(OR(SpeerwurfResultat[[#This Row],[Resultat]]=Stammdaten!$AX$22,SpeerwurfResultat[[#This Row],[Resultat]]=Stammdaten!$AX$19),Stammdaten!$AX$19,IF(ISNA(INDEX(INDIRECT(CM38),MATCH(SpeerwurfGerundet[[#This Row],[Rundung]],INDIRECT(CM38),CM$18))),IF(CM$18=-1,LARGE(INDIRECT(CM38),1),SMALL(INDIRECT(CM38),1)),INDEX(INDIRECT(CM38),MATCH(SpeerwurfGerundet[[#This Row],[Rundung]],INDIRECT(CM38),CM$18)))))</f>
        <v/>
      </c>
      <c r="CP38" s="18" t="str">
        <f ca="1">IF(SpeerwurfSkalawert[[#This Row],[Skala-Wert]]="","",REPLACE(INDEX(StdDisziplinen[TabÜberschriftNote],CI$3),FIND("X",INDEX(StdDisziplinen[TabÜberschriftNote],CI$3),1),2,CL38))</f>
        <v/>
      </c>
      <c r="CQ38" s="31" t="str">
        <f ca="1">IF(OR(CP38="",SpeerwurfSkalawert[[#This Row],[Skala-Wert]]=Stammdaten!$AX$19),"",INDEX(INDIRECT(CP38),MATCH(SpeerwurfSkalawert[[#This Row],[Skala-Wert]],INDIRECT(CM38),0)))</f>
        <v/>
      </c>
      <c r="CR38" s="31"/>
      <c r="CS38" s="31" t="str">
        <f t="shared" ca="1" si="50"/>
        <v/>
      </c>
      <c r="CT38" s="31" t="str">
        <f t="shared" ca="1" si="50"/>
        <v/>
      </c>
      <c r="CU38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Row],[Skala-Wert]])&gt;0,MAX(CS38:CT38),99))</f>
        <v>Keine Note</v>
      </c>
      <c r="CV38" s="202" t="str">
        <f t="shared" ca="1" si="51"/>
        <v/>
      </c>
      <c r="CW38" s="202" t="str">
        <f ca="1">IF(CV38=$A$2,CS$10&amp;Stammdaten!$AX$25,IF(CU38=INDEX(StdFehler[],3),CS$10&amp;Stammdaten!$AX$27,INDEX(INDIRECT($B$4),MATCH(CV38,INDIRECT($B$5),0))))</f>
        <v>Sprintdisziplinen nicht durchgeführt</v>
      </c>
      <c r="CX38" s="202" t="str">
        <f ca="1">IFERROR(INDEX(INDIRECT(CX$12),MATCH(CV38,StdDisziplinen[ID],0)),"")</f>
        <v/>
      </c>
      <c r="CY38" s="202" t="e">
        <f t="shared" ca="1" si="52"/>
        <v>#N/A</v>
      </c>
      <c r="CZ38" s="202" t="e">
        <f t="shared" ca="1" si="53"/>
        <v>#N/A</v>
      </c>
      <c r="DA38" s="98" t="str">
        <f t="shared" ca="1" si="223"/>
        <v/>
      </c>
      <c r="DB38" s="202" t="e">
        <f t="shared" ca="1" si="54"/>
        <v>#N/A</v>
      </c>
      <c r="DC38" s="202" t="str">
        <f t="shared" ca="1" si="55"/>
        <v/>
      </c>
      <c r="DD38" s="31" t="str">
        <f t="shared" ca="1" si="56"/>
        <v/>
      </c>
      <c r="DE38" s="31" t="str">
        <f t="shared" ca="1" si="56"/>
        <v/>
      </c>
      <c r="DF38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Row],[Skala-Wert]])&gt;0,MAX(DD38:DE38),99))</f>
        <v>Keine Note</v>
      </c>
      <c r="DG38" s="202" t="str">
        <f t="shared" ca="1" si="57"/>
        <v/>
      </c>
      <c r="DH38" s="202" t="str">
        <f ca="1">IF(DG38=$A$2,DD$10&amp;Stammdaten!$AX$25,IF(DF38=INDEX(StdFehler[],3),DD$10&amp;Stammdaten!$AX$27,INDEX(INDIRECT($B$4),MATCH(DG38,INDIRECT($B$5),0))))</f>
        <v>Ausdauerdisziplinen nicht durchgeführt</v>
      </c>
      <c r="DI38" s="202" t="str">
        <f ca="1">IFERROR(INDEX(INDIRECT(DI$12),MATCH(DG38,StdDisziplinen[ID],0)),"")</f>
        <v/>
      </c>
      <c r="DJ38" s="202" t="e">
        <f t="shared" ca="1" si="58"/>
        <v>#N/A</v>
      </c>
      <c r="DK38" s="202" t="e">
        <f t="shared" ca="1" si="59"/>
        <v>#N/A</v>
      </c>
      <c r="DL38" s="96" t="str">
        <f t="shared" ca="1" si="60"/>
        <v/>
      </c>
      <c r="DM38" s="202" t="e">
        <f t="shared" ca="1" si="61"/>
        <v>#N/A</v>
      </c>
      <c r="DN38" s="202" t="str">
        <f t="shared" ca="1" si="62"/>
        <v/>
      </c>
      <c r="DO38" s="31" t="str">
        <f t="shared" ca="1" si="63"/>
        <v/>
      </c>
      <c r="DP38" s="31" t="str">
        <f t="shared" ca="1" si="63"/>
        <v/>
      </c>
      <c r="DQ38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Row],[Skala-Wert]])&gt;0,MAX(DO38:DP38),99))</f>
        <v>Keine Note</v>
      </c>
      <c r="DR38" s="202" t="str">
        <f t="shared" ca="1" si="64"/>
        <v/>
      </c>
      <c r="DS38" s="202" t="str">
        <f ca="1">IF(DR38=$A$2,DO$10&amp;Stammdaten!$AX$25,IF(DQ38=INDEX(StdFehler[],3),DO$10&amp;Stammdaten!$AX$27,INDEX(INDIRECT($B$4),MATCH(DR38,INDIRECT($B$5),0))))</f>
        <v>Sprungdisziplinen nicht durchgeführt</v>
      </c>
      <c r="DT38" s="202" t="str">
        <f ca="1">IFERROR(INDEX(INDIRECT(DT$12),MATCH(DR38,StdDisziplinen[ID],0)),"")</f>
        <v/>
      </c>
      <c r="DU38" s="202" t="e">
        <f t="shared" ca="1" si="65"/>
        <v>#N/A</v>
      </c>
      <c r="DV38" s="202" t="e">
        <f t="shared" ca="1" si="66"/>
        <v>#N/A</v>
      </c>
      <c r="DW38" s="202" t="str">
        <f t="shared" ca="1" si="67"/>
        <v/>
      </c>
      <c r="DX38" s="202" t="e">
        <f t="shared" ca="1" si="68"/>
        <v>#N/A</v>
      </c>
      <c r="DY38" s="202" t="str">
        <f t="shared" ca="1" si="69"/>
        <v/>
      </c>
      <c r="DZ38" s="31" t="str">
        <f ca="1">IF(BallwurfSkalawert[[#This Row],[Skala-Wert]]=$A$3,$A$2,IF(ISNUMBER(BallwurfSkalawert[[#This Row],[Skala-Wert]]),BallwurfNote[[#This Row],[Note]],"!"))</f>
        <v>!</v>
      </c>
      <c r="EA38" s="31" t="str">
        <f ca="1">IF(KugelstossenSkalawert[[#This Row],[Skala-Wert]]=$A$3,$A$2,IF(ISNUMBER(KugelstossenSkalawert[[#This Row],[Skala-Wert]]),KugelstossenNote[[#This Row],[Note]],"!"))</f>
        <v>!</v>
      </c>
      <c r="EB38" s="31" t="str">
        <f ca="1">IF(SpeerwurfSkalawert[[#This Row],[Skala-Wert]]=$A$3,$A$2,IF(ISNUMBER(SpeerwurfSkalawert[[#This Row],[Skala-Wert]]),SpeerwurfNote[[#This Row],[Note]],"!"))</f>
        <v>!</v>
      </c>
      <c r="EC38" s="95" t="str">
        <f ca="1">IF(ED38&gt;0,MAX(DZ38:EB38),IF(EE38&gt;0,99,INDEX(StdFehler[StdFehler],3)))</f>
        <v>Keine Note</v>
      </c>
      <c r="ED38" s="202">
        <f t="shared" ca="1" si="70"/>
        <v>0</v>
      </c>
      <c r="EE38" s="202">
        <f t="shared" ca="1" si="71"/>
        <v>0</v>
      </c>
      <c r="EF38" s="202" t="str">
        <f t="shared" ca="1" si="72"/>
        <v/>
      </c>
      <c r="EG38" s="202" t="str">
        <f ca="1">IF(EF38=$A$2,DZ$10&amp;Stammdaten!$AX$25,IF(EC38=INDEX(StdFehler[],3),DZ$10&amp;Stammdaten!$AX$27,INDEX(INDIRECT($B$4),MATCH(EF38,INDIRECT($B$5),0))))</f>
        <v>Wurfdisziplinen nicht durchgeführt</v>
      </c>
      <c r="EH38" s="202" t="str">
        <f ca="1">IFERROR(INDEX(INDIRECT(EH$12),MATCH(EF38,StdDisziplinen[ID],0)),"")</f>
        <v/>
      </c>
      <c r="EI38" s="202" t="e">
        <f t="shared" ca="1" si="73"/>
        <v>#N/A</v>
      </c>
      <c r="EJ38" s="202" t="e">
        <f t="shared" ca="1" si="74"/>
        <v>#N/A</v>
      </c>
      <c r="EK38" s="98" t="str">
        <f t="shared" ca="1" si="75"/>
        <v/>
      </c>
      <c r="EL38" s="202" t="e">
        <f t="shared" ca="1" si="76"/>
        <v>#N/A</v>
      </c>
      <c r="EM38" s="202" t="str">
        <f t="shared" ca="1" si="77"/>
        <v/>
      </c>
      <c r="EN38" s="200">
        <f t="shared" ca="1" si="1"/>
        <v>0</v>
      </c>
      <c r="EO38" s="202">
        <f t="shared" ca="1" si="78"/>
        <v>0</v>
      </c>
      <c r="EP38" s="96">
        <f t="shared" ca="1" si="2"/>
        <v>0</v>
      </c>
      <c r="EQ38" s="96">
        <f t="shared" ca="1" si="3"/>
        <v>0</v>
      </c>
      <c r="ER38" s="96">
        <f t="shared" ca="1" si="4"/>
        <v>0</v>
      </c>
      <c r="ES38" s="96">
        <f t="shared" ca="1" si="5"/>
        <v>0</v>
      </c>
      <c r="ET38" s="202">
        <f t="shared" ca="1" si="79"/>
        <v>0</v>
      </c>
      <c r="EU38" s="202" t="str">
        <f ca="1">IF($EO38=$FA$4,Stammdaten!$AX$19,IF(COUNTIF($EP38:$ES38,0)&lt;&gt;0,INDEX(StdFehler[StdFehler],4),ROUND(SUM($ET38/$EN38)/$FC$4,0)*$FC$4))</f>
        <v>Zu wenige Noten</v>
      </c>
      <c r="EV38" s="202" t="str">
        <f t="shared" ca="1" si="6"/>
        <v>Zu wenige Noten</v>
      </c>
      <c r="EW38" s="202" t="str">
        <f t="shared" ca="1" si="80"/>
        <v>Zu wenige Noten</v>
      </c>
      <c r="EX38" s="202" t="str">
        <f t="shared" ca="1" si="80"/>
        <v>Zu wenige Noten</v>
      </c>
      <c r="EY38" s="202" t="str">
        <f t="shared" ca="1" si="80"/>
        <v>Zu wenige Noten</v>
      </c>
      <c r="EZ38" s="202" t="str">
        <f t="shared" ca="1" si="81"/>
        <v>Zu wenige Noten</v>
      </c>
      <c r="FA38" s="202" t="str">
        <f t="shared" ca="1" si="82"/>
        <v>Zu wenige Noten</v>
      </c>
      <c r="FB38" s="31"/>
      <c r="FC38" s="56" t="str">
        <f t="shared" ca="1" si="83"/>
        <v>Zu wenige Noten</v>
      </c>
      <c r="FD38" s="31"/>
      <c r="FE38" s="597"/>
      <c r="FF38" s="190"/>
      <c r="FJ38" s="31"/>
      <c r="FK38" s="597"/>
      <c r="FL38" s="190"/>
      <c r="FP38" s="31"/>
      <c r="FQ38" s="597"/>
      <c r="FR38" s="190"/>
      <c r="FV38" s="31"/>
      <c r="FW38" s="597"/>
      <c r="FX38" s="190"/>
      <c r="GB38" s="31"/>
      <c r="GC38" s="597"/>
      <c r="GD38" s="190"/>
      <c r="GF38" s="154"/>
      <c r="GH38" s="31"/>
      <c r="GI38" s="597"/>
      <c r="GJ38" s="190"/>
      <c r="GN38" s="45"/>
      <c r="GO38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8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8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8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8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8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8" s="202">
        <f t="shared" si="7"/>
        <v>0</v>
      </c>
      <c r="GV38" s="202">
        <f t="shared" si="8"/>
        <v>0</v>
      </c>
      <c r="GW38" s="202">
        <f t="shared" si="84"/>
        <v>0</v>
      </c>
      <c r="GX38" s="200" t="str">
        <f t="shared" si="85"/>
        <v>!</v>
      </c>
      <c r="GY38" s="200" t="str">
        <f t="shared" si="9"/>
        <v>!</v>
      </c>
      <c r="GZ38" s="200" t="str">
        <f t="shared" si="10"/>
        <v>!</v>
      </c>
      <c r="HA38" s="244" t="str">
        <f t="shared" si="86"/>
        <v>nd</v>
      </c>
      <c r="HB38" s="244" t="str">
        <f t="shared" si="87"/>
        <v>nd</v>
      </c>
      <c r="HC38" s="244" t="str">
        <f t="shared" si="88"/>
        <v>nd</v>
      </c>
      <c r="HD38" s="244" t="str">
        <f t="shared" si="89"/>
        <v>nd</v>
      </c>
      <c r="HE38" s="244" t="str">
        <f t="shared" si="90"/>
        <v>nd</v>
      </c>
      <c r="HF38" s="244" t="str">
        <f t="shared" si="91"/>
        <v>nd</v>
      </c>
      <c r="HG38" s="202" t="b">
        <f t="shared" si="92"/>
        <v>0</v>
      </c>
      <c r="HH38" s="202">
        <f t="shared" si="93"/>
        <v>1</v>
      </c>
      <c r="HI38" s="202">
        <f t="shared" si="94"/>
        <v>0</v>
      </c>
      <c r="HJ38" s="200" t="str">
        <f t="shared" si="95"/>
        <v/>
      </c>
      <c r="HK38" s="200" t="str">
        <f t="shared" si="96"/>
        <v/>
      </c>
      <c r="HL38" s="200">
        <f t="shared" si="97"/>
        <v>0</v>
      </c>
      <c r="HM38" s="202" t="str">
        <f t="shared" si="98"/>
        <v/>
      </c>
      <c r="HN38" s="200" t="str">
        <f t="shared" si="99"/>
        <v/>
      </c>
      <c r="HO38" s="200" t="str">
        <f t="shared" si="100"/>
        <v/>
      </c>
      <c r="HP38" s="200" t="str">
        <f t="shared" si="101"/>
        <v/>
      </c>
      <c r="HQ38" s="242" t="str">
        <f t="shared" si="102"/>
        <v/>
      </c>
      <c r="HR38" s="242" t="str">
        <f t="shared" si="103"/>
        <v/>
      </c>
      <c r="HS38" s="242" t="str">
        <f t="shared" si="104"/>
        <v/>
      </c>
      <c r="HT38" s="242" t="str">
        <f t="shared" ca="1" si="105"/>
        <v>Erstes Gerät</v>
      </c>
      <c r="HU38" s="242" t="str">
        <f ca="1">IF(HT38=$HS$12,Stammdaten!$AY$27,IF(HW38=$A$2,TRIM(Stammdaten!$AX$25),""))</f>
        <v>nicht durchgeführt</v>
      </c>
      <c r="HV38" s="242" t="str">
        <f t="shared" ca="1" si="106"/>
        <v/>
      </c>
      <c r="HW38" s="277" t="str">
        <f t="shared" si="11"/>
        <v/>
      </c>
      <c r="HX38" s="202" t="str">
        <f t="shared" si="107"/>
        <v/>
      </c>
      <c r="HY38" s="202" t="str">
        <f t="shared" ca="1" si="108"/>
        <v/>
      </c>
      <c r="HZ38" s="202" t="str">
        <f t="shared" ca="1" si="109"/>
        <v>StdDisziplinen[MaxTextSt]</v>
      </c>
      <c r="IA38" s="202" t="str">
        <f t="shared" ca="1" si="12"/>
        <v/>
      </c>
      <c r="IB38" s="202" t="b">
        <f t="shared" si="110"/>
        <v>0</v>
      </c>
      <c r="IC38" s="202" t="str">
        <f t="shared" si="111"/>
        <v/>
      </c>
      <c r="ID38" s="202" t="str">
        <f t="shared" si="112"/>
        <v/>
      </c>
      <c r="IE38" s="202" t="str">
        <f t="shared" si="113"/>
        <v/>
      </c>
      <c r="IF38" s="202" t="str">
        <f t="shared" si="114"/>
        <v/>
      </c>
      <c r="IG38" s="242" t="str">
        <f t="shared" si="115"/>
        <v/>
      </c>
      <c r="IH38" s="242" t="str">
        <f t="shared" si="116"/>
        <v/>
      </c>
      <c r="II38" s="242" t="str">
        <f t="shared" ca="1" si="13"/>
        <v>Zweites Gerät</v>
      </c>
      <c r="IJ38" s="242" t="str">
        <f ca="1">IF(II38=$IH$12,Stammdaten!$AY$27,IF(IL38=$A$2,TRIM(Stammdaten!$AX$25),""))</f>
        <v>nicht durchgeführt</v>
      </c>
      <c r="IK38" s="242" t="str">
        <f t="shared" ca="1" si="117"/>
        <v/>
      </c>
      <c r="IL38" s="200" t="str">
        <f t="shared" si="14"/>
        <v/>
      </c>
      <c r="IM38" s="202" t="str">
        <f t="shared" si="118"/>
        <v/>
      </c>
      <c r="IN38" s="202" t="str">
        <f t="shared" ca="1" si="119"/>
        <v/>
      </c>
      <c r="IO38" s="202" t="str">
        <f t="shared" ca="1" si="120"/>
        <v>StdDisziplinen[MaxTextSt]</v>
      </c>
      <c r="IP38" s="202" t="str">
        <f t="shared" ca="1" si="121"/>
        <v/>
      </c>
      <c r="IQ38" s="202" t="b">
        <f t="shared" si="122"/>
        <v>0</v>
      </c>
      <c r="IR38" s="242" t="str">
        <f t="shared" ca="1" si="15"/>
        <v>Drittes Gerät</v>
      </c>
      <c r="IS38" s="242" t="str">
        <f ca="1">IF(IR38=$IR$12,MID(Stammdaten!$AX$27,2,LEN(Stammdaten!$AX$27)),IF(IU38=$A$2,TRIM(Stammdaten!$AX$25),""))</f>
        <v>nicht durchgeführt</v>
      </c>
      <c r="IT38" s="242" t="str">
        <f t="shared" ca="1" si="16"/>
        <v/>
      </c>
      <c r="IU38" s="200" t="str">
        <f t="shared" si="17"/>
        <v/>
      </c>
      <c r="IV38" s="202" t="str">
        <f t="shared" si="123"/>
        <v/>
      </c>
      <c r="IW38" s="202" t="str">
        <f t="shared" ca="1" si="124"/>
        <v/>
      </c>
      <c r="IX38" s="202" t="str">
        <f t="shared" ca="1" si="125"/>
        <v>StdDisziplinen[MaxTextSt]</v>
      </c>
      <c r="IY38" s="202" t="str">
        <f t="shared" ca="1" si="18"/>
        <v/>
      </c>
      <c r="IZ38" s="200" t="str">
        <f>IF(NOT(GW38),INDEX(StdFehler[StdFehler],4),IF(COUNTIF(GX38:GZ38,$A$2)&gt;=$IZ$4,$A$3,SUM(GX38:GZ38)))</f>
        <v>Zu wenige Noten</v>
      </c>
      <c r="JA38" s="31"/>
      <c r="JB38" s="587" t="e">
        <f t="shared" si="19"/>
        <v>#VALUE!</v>
      </c>
      <c r="JC38" s="191" t="str">
        <f>IF(OR(Geschlecht[[#This Row],[Geschlecht (Skala)]]="",IZ38=""),"",MID(Geschlecht[[#This Row],[Geschlecht (Skala)]],1,1)&amp;MID($FE$16,1,1))</f>
        <v/>
      </c>
      <c r="JD38" s="190" t="str">
        <f>IF(OR(JC38="",IZ38=""),"",REPLACE(INDEX(StdDisziplinen[TabÜberschriftResultat],$FE$3),FIND("X",INDEX(StdDisziplinen[TabÜberschriftResultat],$FE$3),1),2,JC38))</f>
        <v/>
      </c>
      <c r="JE38" s="192" t="str">
        <f ca="1">IF(OR(JD38="",IZ38=Stammdaten!$AZ$5),"",IF(OR(IZ38=Stammdaten!$AX$22,IZ38=Stammdaten!$AX$19),Stammdaten!$AX$19,IF(ISNA(INDEX(INDIRECT(JD38),MATCH(GeräteturnenGerundet[[#This Row],[Rundung]],INDIRECT(JD38),$JD$16))),IF($JD$16=-1,LARGE(INDIRECT(JD38),1),SMALL(INDIRECT(JD38),1)),INDEX(INDIRECT(JD38),MATCH(GeräteturnenGerundet[[#This Row],[Rundung]],INDIRECT(JD38),$JD$16)))))</f>
        <v/>
      </c>
      <c r="JG38" s="18" t="str">
        <f ca="1">IF(GeräteturnenSkalawert[[#This Row],[Skala-Wert]]="","",REPLACE(INDEX(StdDisziplinen[TabÜberschriftNote],$FE$3),FIND("X",INDEX(StdDisziplinen[TabÜberschriftNote],$FE$3),1),2,JC38))</f>
        <v/>
      </c>
      <c r="JH38" s="45" t="str">
        <f ca="1">IF(OR(JG38="",GeräteturnenSkalawert[[#This Row],[Skala-Wert]]=Stammdaten!$AX$19),"",INDEX(INDIRECT(JG38),MATCH(GeräteturnenSkalawert[[#This Row],[Skala-Wert]],INDIRECT(JD38),0)))</f>
        <v/>
      </c>
      <c r="JI38" s="31"/>
      <c r="JJ38" s="597"/>
      <c r="JK38" s="190"/>
      <c r="JL38" s="587">
        <f>IF(JL$16,IF(JM$16=0.5,MROUND(ParkourResultat[[#This Row],[Resultat]],JM$16),ROUND(ParkourResultat[[#This Row],[Resultat]],JM$16)),ROUNDDOWN(ParkourResultat[[#This Row],[Resultat]],JM$16))</f>
        <v>0</v>
      </c>
      <c r="JM38" s="191" t="str">
        <f>IF(OR(Geschlecht[[#This Row],[Geschlecht (Skala)]]="",JJ$16=""),"",MID(Geschlecht[[#This Row],[Geschlecht (Skala)]],1,1)&amp;MID(JJ$16,1,1))</f>
        <v/>
      </c>
      <c r="JN38" s="190" t="str">
        <f>IF(OR(JM38="",ParkourResultat[[#This Row],[Resultat]]=""),"",REPLACE(INDEX(StdDisziplinen[TabÜberschriftResultat],JJ$3),FIND("X",INDEX(StdDisziplinen[TabÜberschriftResultat],JJ$3),1),2,JM38))</f>
        <v/>
      </c>
      <c r="JO38" s="192" t="str">
        <f ca="1">IF(JN38="","",IF(OR(ParkourResultat[[#This Row],[Resultat]]=Stammdaten!$AX$22,ParkourResultat[[#This Row],[Resultat]]=Stammdaten!$AX$19),Stammdaten!$AX$19,IF(ISNA(INDEX(INDIRECT(JN38),MATCH(ParkourGerundet[[#This Row],[Rundung]],INDIRECT(JN38),JN$18))),IF(JN$18=-1,LARGE(INDIRECT(JN38),1),SMALL(INDIRECT(JN38),1)),INDEX(INDIRECT(JN38),MATCH(ParkourGerundet[[#This Row],[Rundung]],INDIRECT(JN38),JN$18)))))</f>
        <v/>
      </c>
      <c r="JQ38" s="18" t="str">
        <f ca="1">IF(ParkourSkalawert[[#This Row],[Skala-Wert]]="","",REPLACE(INDEX(StdDisziplinen[TabÜberschriftNote],JJ$3),FIND("X",INDEX(StdDisziplinen[TabÜberschriftNote],JJ$3),1),2,JM38))</f>
        <v/>
      </c>
      <c r="JR38" s="31" t="str">
        <f ca="1">IF(OR(JQ38="",ParkourSkalawert[[#This Row],[Skala-Wert]]=Stammdaten!$AX$19),"",INDEX(INDIRECT(JQ38),MATCH(ParkourSkalawert[[#This Row],[Skala-Wert]],INDIRECT(JN38),0)))</f>
        <v/>
      </c>
      <c r="JS38" s="96"/>
      <c r="JT38" s="47" t="str">
        <f ca="1">IF(OR(ISNUMBER(ParkourSkalawert[[#This Row],[Skala-Wert]]),ParkourSkalawert[[#This Row],[Skala-Wert]]=$A$3),INDEX(INDIRECT($JU$1),MATCH($JJ$3,INDIRECT($B$5),0)),"")</f>
        <v/>
      </c>
      <c r="JU38" s="200" t="str">
        <f t="shared" ca="1" si="126"/>
        <v>StdDisziplinen[MaxTextSt]</v>
      </c>
      <c r="JV38" s="200" t="str">
        <f t="shared" ca="1" si="127"/>
        <v/>
      </c>
      <c r="JW38" s="98">
        <f ca="1">IF(GeräteturnenSkalawert[[#This Row],[Skala-Wert]]=$A$3,$A$2,IF(GeräteturnenNote[[#This Row],[Note]]="",0,GeräteturnenNote[[#This Row],[Note]]))</f>
        <v>0</v>
      </c>
      <c r="JX38" s="96">
        <f ca="1">IF(ParkourSkalawert[[#This Row],[Skala-Wert]]=$A$3,$A$2,IF(ParkourNote[[#This Row],[Note]]="",0,ParkourNote[[#This Row],[Note]]))</f>
        <v>0</v>
      </c>
      <c r="JY38" s="200">
        <f t="shared" ca="1" si="128"/>
        <v>0</v>
      </c>
      <c r="JZ38" s="200">
        <f t="shared" ca="1" si="129"/>
        <v>0</v>
      </c>
      <c r="KA38" s="202">
        <f t="shared" ca="1" si="130"/>
        <v>0</v>
      </c>
      <c r="KB38" s="98" t="str">
        <f t="shared" ca="1" si="20"/>
        <v>!</v>
      </c>
      <c r="KC38" s="98" t="str">
        <f t="shared" ca="1" si="21"/>
        <v>!</v>
      </c>
      <c r="KD38" s="202" t="str">
        <f ca="1">IF(NOT(KA38),INDEX(StdFehler[StdFehler],4),IF(JZ38=$KA$12,$A$3,IF(JW38=$A$2,JX38,IF(JX38=$A$2,JW38,CONCATENATE(JW38,", ",JX38)))))</f>
        <v>Zu wenige Noten</v>
      </c>
      <c r="KE38" s="202" t="str">
        <f t="shared" ca="1" si="131"/>
        <v>Zu wenige Noten</v>
      </c>
      <c r="KF38" s="31"/>
      <c r="KG38" s="56" t="str">
        <f ca="1">IF(NOT(KA38),INDEX(StdFehler[StdFehler],4),IF(JZ38=$KA$12,$A$3,ROUND(AVERAGE(KB38:KC38)/$KG$4,0)*$KG$4))</f>
        <v>Zu wenige Noten</v>
      </c>
      <c r="KH38" s="31"/>
      <c r="KI38" s="599"/>
      <c r="KJ38" s="190"/>
      <c r="KK38" s="586">
        <f>IF(KK$16,IF(KL$16=0.5,MROUND(TanzenResultat[[#This Row],[Resultat]],KL$16),ROUND(TanzenResultat[[#This Row],[Resultat]],KL$16)),ROUNDDOWN(TanzenResultat[[#This Row],[Resultat]],KL$16))</f>
        <v>0</v>
      </c>
      <c r="KL38" s="191" t="str">
        <f>IF(OR(Geschlecht[[#This Row],[Geschlecht (Skala)]]="",KI$16=""),"",MID(Geschlecht[[#This Row],[Geschlecht (Skala)]],1,1)&amp;MID(KI$16,1,1))</f>
        <v/>
      </c>
      <c r="KM38" s="190" t="str">
        <f>IF(OR(KL38="",TanzenResultat[[#This Row],[Resultat]]=""),"",REPLACE(INDEX(StdDisziplinen[TabÜberschriftResultat],KI$3),FIND("X",INDEX(StdDisziplinen[TabÜberschriftResultat],KI$3),1),2,KL38))</f>
        <v/>
      </c>
      <c r="KN38" s="31" t="str">
        <f ca="1">IF(KM38="","",IF(OR(TanzenResultat[[#This Row],[Resultat]]=Stammdaten!$AX$22,TanzenResultat[[#This Row],[Resultat]]=Stammdaten!$AX$19),Stammdaten!$AX$19,IF(ISNA(INDEX(INDIRECT(KM38),MATCH(TanzenGerundet[[#This Row],[Rundung]],INDIRECT(KM38),KM$18))),IF(KM$18=-1,LARGE(INDIRECT(KM38),1),SMALL(INDIRECT(KM38),1)),INDEX(INDIRECT(KM38),MATCH(TanzenGerundet[[#This Row],[Rundung]],INDIRECT(KM38),KM$18)))))</f>
        <v/>
      </c>
      <c r="KP38" s="18" t="str">
        <f ca="1">IF(TanzenSkalawert[[#This Row],[Skala-Wert]]="","",REPLACE(INDEX(StdDisziplinen[TabÜberschriftNote],KI$3),FIND("X",INDEX(StdDisziplinen[TabÜberschriftNote],KI$3),1),2,KL38))</f>
        <v/>
      </c>
      <c r="KQ38" s="45" t="str">
        <f ca="1">IF(OR(KP38="",TanzenSkalawert[[#This Row],[Skala-Wert]]=Stammdaten!$AX$19),"",INDEX(INDIRECT(KP38),MATCH(TanzenSkalawert[[#This Row],[Skala-Wert]],INDIRECT(KM38),0)))</f>
        <v/>
      </c>
      <c r="KR38" s="31"/>
      <c r="KS38" s="597"/>
      <c r="KT38" s="190"/>
      <c r="KU38" s="587">
        <f>IF(KU$16,IF(KV$16=0.5,MROUND(RopeSkippingResultat[[#This Row],[Resultat]],KV$16),ROUND(RopeSkippingResultat[[#This Row],[Resultat]],KV$16)),ROUNDDOWN(RopeSkippingResultat[[#This Row],[Resultat]],KV$16))</f>
        <v>0</v>
      </c>
      <c r="KV38" s="191" t="str">
        <f>IF(OR(Geschlecht[[#This Row],[Geschlecht (Skala)]]="",KS$16=""),"",MID(Geschlecht[[#This Row],[Geschlecht (Skala)]],1,1)&amp;MID(KS$16,1,1))</f>
        <v/>
      </c>
      <c r="KW38" s="190" t="str">
        <f>IF(OR(KV38="",RopeSkippingResultat[[#This Row],[Resultat]]=""),"",REPLACE(INDEX(StdDisziplinen[TabÜberschriftResultat],KS$3),FIND("X",INDEX(StdDisziplinen[TabÜberschriftResultat],KS$3),1),2,KV38))</f>
        <v/>
      </c>
      <c r="KX38" s="192" t="str">
        <f ca="1">IF(KW38="","",IF(OR(RopeSkippingResultat[[#This Row],[Resultat]]=Stammdaten!$AX$22,RopeSkippingResultat[[#This Row],[Resultat]]=Stammdaten!$AX$19),Stammdaten!$AX$19,IF(ISNA(INDEX(INDIRECT(KW38),MATCH(RopeSkippingGerundet[[#This Row],[Rundung]],INDIRECT(KW38),KW$18))),IF(KW$18=-1,LARGE(INDIRECT(KW38),1),SMALL(INDIRECT(KW38),1)),INDEX(INDIRECT(KW38),MATCH(RopeSkippingGerundet[[#This Row],[Rundung]],INDIRECT(KW38),KW$18)))))</f>
        <v/>
      </c>
      <c r="KZ38" s="18" t="str">
        <f ca="1">IF(RopeSkippingSkalawert[[#This Row],[Skala-Wert]]="","",REPLACE(INDEX(StdDisziplinen[TabÜberschriftNote],KS$3),FIND("X",INDEX(StdDisziplinen[TabÜberschriftNote],KS$3),1),2,KV38))</f>
        <v/>
      </c>
      <c r="LA38" s="45" t="str">
        <f ca="1">IF(OR(KZ38="",RopeSkippingSkalawert[[#This Row],[Skala-Wert]]=Stammdaten!$AX$19),"",INDEX(INDIRECT(KZ38),MATCH(RopeSkippingSkalawert[[#This Row],[Skala-Wert]],INDIRECT(KW38),0)))</f>
        <v/>
      </c>
      <c r="LB38" s="31"/>
      <c r="LC38" s="599"/>
      <c r="LD38" s="190"/>
      <c r="LE38" s="586">
        <f>IF(LE$16,IF(LF$16=0.5,MROUND(AerobicResultat[[#This Row],[Resultat]],LF$16),ROUND(AerobicResultat[[#This Row],[Resultat]],LF$16)),ROUNDDOWN(AerobicResultat[[#This Row],[Resultat]],LF$16))</f>
        <v>0</v>
      </c>
      <c r="LF38" s="191" t="str">
        <f>IF(OR(Geschlecht[[#This Row],[Geschlecht (Skala)]]="",LC$16=""),"",MID(Geschlecht[[#This Row],[Geschlecht (Skala)]],1,1)&amp;MID(LC$16,1,1))</f>
        <v/>
      </c>
      <c r="LG38" s="190" t="str">
        <f>IF(OR(LF38="",AerobicResultat[[#This Row],[Resultat]]=""),"",REPLACE(INDEX(StdDisziplinen[TabÜberschriftResultat],LC$3),FIND("X",INDEX(StdDisziplinen[TabÜberschriftResultat],LC$3),1),2,LF38))</f>
        <v/>
      </c>
      <c r="LH38" s="31" t="str">
        <f ca="1">IF(LG38="","",IF(OR(AerobicResultat[[#This Row],[Resultat]]=Stammdaten!$AX$22,AerobicResultat[[#This Row],[Resultat]]=Stammdaten!$AX$19),Stammdaten!$AX$19,IF(ISNA(INDEX(INDIRECT(LG38),MATCH(AerobicGerundet[[#This Row],[Rundung]],INDIRECT(LG38),LG$18))),IF(LG$18=-1,LARGE(INDIRECT(LG38),1),SMALL(INDIRECT(LG38),1)),INDEX(INDIRECT(LG38),MATCH(AerobicGerundet[[#This Row],[Rundung]],INDIRECT(LG38),LG$18)))))</f>
        <v/>
      </c>
      <c r="LJ38" s="18" t="str">
        <f ca="1">IF(AerobicSkalawert[[#This Row],[Skala-Wert]]="","",REPLACE(INDEX(StdDisziplinen[TabÜberschriftNote],LC$3),FIND("X",INDEX(StdDisziplinen[TabÜberschriftNote],LC$3),1),2,LF38))</f>
        <v/>
      </c>
      <c r="LK38" s="45" t="str">
        <f ca="1">IF(OR(LJ38="",AerobicSkalawert[[#This Row],[Skala-Wert]]=Stammdaten!$AX$19),"",INDEX(INDIRECT(LJ38),MATCH(AerobicSkalawert[[#This Row],[Skala-Wert]],INDIRECT(LG38),0)))</f>
        <v/>
      </c>
      <c r="LL38" s="31"/>
      <c r="LM38" s="45" t="str">
        <f ca="1">IF(TanzenSkalawert[[#This Row],[Skala-Wert]]=$A$3,$A$2,IF(ISNUMBER(TanzenSkalawert[[#This Row],[Skala-Wert]]),TanzenNote[[#This Row],[Note]],"!"))</f>
        <v>!</v>
      </c>
      <c r="LN38" s="45" t="str">
        <f ca="1">IF(RopeSkippingSkalawert[[#This Row],[Skala-Wert]]=$A$3,$A$2,IF(ISNUMBER(RopeSkippingSkalawert[[#This Row],[Skala-Wert]]),RopeSkippingNote[[#This Row],[Note]],"!"))</f>
        <v>!</v>
      </c>
      <c r="LO38" s="45" t="str">
        <f ca="1">IF(AerobicSkalawert[[#This Row],[Skala-Wert]]=$A$3,$A$2,IF(ISNUMBER(AerobicSkalawert[[#This Row],[Skala-Wert]]),AerobicNote[[#This Row],[Note]],"!"))</f>
        <v>!</v>
      </c>
      <c r="LP38" s="36">
        <f t="shared" ca="1" si="132"/>
        <v>0</v>
      </c>
      <c r="LQ38" s="36">
        <f t="shared" ca="1" si="133"/>
        <v>0</v>
      </c>
      <c r="LR38" s="244" t="str">
        <f t="shared" ca="1" si="22"/>
        <v>nd</v>
      </c>
      <c r="LS38" s="244" t="str">
        <f t="shared" ca="1" si="23"/>
        <v>nd</v>
      </c>
      <c r="LT38" s="244" t="str">
        <f t="shared" ca="1" si="24"/>
        <v>nd</v>
      </c>
      <c r="LU38" s="242" t="str">
        <f t="shared" ca="1" si="25"/>
        <v/>
      </c>
      <c r="LV38" s="242" t="str">
        <f t="shared" ca="1" si="134"/>
        <v/>
      </c>
      <c r="LW38" s="242" t="str">
        <f t="shared" ca="1" si="135"/>
        <v/>
      </c>
      <c r="LX38" s="242" t="str">
        <f ca="1">IF(LW38="",Stammdaten!$AM$4,INDEX(INDIRECT($B$4),MATCH($LW38,INDIRECT($B$5),0)))</f>
        <v>Darstellen und Tanzen</v>
      </c>
      <c r="LY38" s="242" t="str">
        <f ca="1">IF(LW38="",Stammdaten!$AY$27,IF(ISNUMBER(LU38),LX38,IF(ISNUMBER(LV38),TRIM(Stammdaten!$AX$25),"")))</f>
        <v>nicht durchgeführt</v>
      </c>
      <c r="LZ38" s="242" t="str">
        <f t="shared" ca="1" si="136"/>
        <v>Darstellen und Tanzen</v>
      </c>
      <c r="MA38" s="242" t="str">
        <f t="shared" ca="1" si="137"/>
        <v/>
      </c>
      <c r="MB38" s="242" t="str">
        <f t="shared" ca="1" si="26"/>
        <v>Darstellen und TanzenResultat[@Resultat]</v>
      </c>
      <c r="MC38" s="274" t="str">
        <f t="shared" ca="1" si="138"/>
        <v/>
      </c>
      <c r="MD38" s="242" t="str">
        <f t="shared" ca="1" si="139"/>
        <v>Darstellen und TanzenSkalawert[@[Skala-Wert]]</v>
      </c>
      <c r="ME38" s="274" t="str">
        <f t="shared" ca="1" si="140"/>
        <v/>
      </c>
      <c r="MF38" s="47" t="str">
        <f t="shared" ca="1" si="27"/>
        <v/>
      </c>
      <c r="MG38" s="200" t="str">
        <f t="shared" ca="1" si="141"/>
        <v>StdDisziplinen[MaxTextSt]</v>
      </c>
      <c r="MH38" s="200" t="str">
        <f t="shared" ca="1" si="142"/>
        <v/>
      </c>
      <c r="MI38" s="45"/>
      <c r="MJ38" s="98" t="str">
        <f ca="1">IF(LP38&gt;0,MAX(LM38:LO38),IF(LQ38&gt;0,$A$3,INDEX(StdFehler[StdFehler],4)))</f>
        <v>Zu wenige Noten</v>
      </c>
      <c r="MK38" s="45"/>
      <c r="ML38" s="37"/>
      <c r="MM38" s="190"/>
      <c r="MN38" s="586">
        <f>IF(MN$16,IF(MO$16=0.5,MROUND(BasketballResultat[[#This Row],[Resultat]],MO$16),ROUND(BasketballResultat[[#This Row],[Resultat]],MO$16)),ROUNDDOWN(BasketballResultat[[#This Row],[Resultat]],MO$16))</f>
        <v>0</v>
      </c>
      <c r="MO38" s="191" t="str">
        <f>IF(OR(Geschlecht[[#This Row],[Geschlecht (Skala)]]="",ML$16=""),"",MID(Geschlecht[[#This Row],[Geschlecht (Skala)]],1,1)&amp;MID(ML$16,1,1))</f>
        <v/>
      </c>
      <c r="MP38" s="190" t="str">
        <f>IF(OR(MO38="",BasketballResultat[[#This Row],[Resultat]]=""),"",REPLACE(INDEX(StdDisziplinen[TabÜberschriftResultat],ML$3),FIND("X",INDEX(StdDisziplinen[TabÜberschriftResultat],ML$3),1),2,MO38))</f>
        <v/>
      </c>
      <c r="MQ38" s="31" t="str">
        <f ca="1">IF(MP38="","",IF(OR(BasketballResultat[[#This Row],[Resultat]]=Stammdaten!$AX$22,BasketballResultat[[#This Row],[Resultat]]=Stammdaten!$AX$19),Stammdaten!$AX$19,IF(ISNA(INDEX(INDIRECT(MP38),MATCH(BasketballGerundet[[#This Row],[Rundung]],INDIRECT(MP38),MP$18))),IF(MP$18=-1,LARGE(INDIRECT(MP38),1),SMALL(INDIRECT(MP38),1)),INDEX(INDIRECT(MP38),MATCH(BasketballGerundet[[#This Row],[Rundung]],INDIRECT(MP38),MP$18)))))</f>
        <v/>
      </c>
      <c r="MS38" s="18" t="str">
        <f ca="1">IF(BasketballSkalawert[[#This Row],[Skala-Wert]]="","",REPLACE(INDEX(StdDisziplinen[TabÜberschriftNote],ML$3),FIND("X",INDEX(StdDisziplinen[TabÜberschriftNote],ML$3),1),2,MO38))</f>
        <v/>
      </c>
      <c r="MT38" s="31" t="str">
        <f ca="1">IF(OR(MS38="",BasketballSkalawert[[#This Row],[Skala-Wert]]=Stammdaten!$AX$19),"",INDEX(INDIRECT(MS38),MATCH(BasketballSkalawert[[#This Row],[Skala-Wert]],INDIRECT(MP38),0)))</f>
        <v/>
      </c>
      <c r="MU38" s="31"/>
      <c r="MV38" s="37"/>
      <c r="MW38" s="190"/>
      <c r="MX38" s="586">
        <f>IF(MX$16,IF(MY$16=0.5,MROUND(FussballResultat[[#This Row],[Resultat]],MY$16),ROUND(FussballResultat[[#This Row],[Resultat]],MY$16)),ROUNDDOWN(FussballResultat[[#This Row],[Resultat]],MY$16))</f>
        <v>0</v>
      </c>
      <c r="MY38" s="191" t="str">
        <f>IF(OR(Geschlecht[[#This Row],[Geschlecht (Skala)]]="",MV$16=""),"",MID(Geschlecht[[#This Row],[Geschlecht (Skala)]],1,1)&amp;MID(MV$16,1,1))</f>
        <v/>
      </c>
      <c r="MZ38" s="190" t="str">
        <f>IF(OR(MY38="",FussballResultat[[#This Row],[Resultat]]=""),"",REPLACE(INDEX(StdDisziplinen[TabÜberschriftResultat],MV$3),FIND("X",INDEX(StdDisziplinen[TabÜberschriftResultat],MV$3),1),2,MY38))</f>
        <v/>
      </c>
      <c r="NA38" s="31" t="str">
        <f ca="1">IF(MZ38="","",IF(OR(FussballResultat[[#This Row],[Resultat]]=Stammdaten!$AX$22,FussballResultat[[#This Row],[Resultat]]=Stammdaten!$AX$19),Stammdaten!$AX$19,IF(ISNA(INDEX(INDIRECT(MZ38),MATCH(FussballGerundet[[#This Row],[Rundung]],INDIRECT(MZ38),MZ$18))),IF(MZ$18=-1,LARGE(INDIRECT(MZ38),1),SMALL(INDIRECT(MZ38),1)),INDEX(INDIRECT(MZ38),MATCH(FussballGerundet[[#This Row],[Rundung]],INDIRECT(MZ38),MZ$18)))))</f>
        <v/>
      </c>
      <c r="NC38" s="18" t="str">
        <f ca="1">IF(FussballSkalawert[[#This Row],[Skala-Wert]]="","",REPLACE(INDEX(StdDisziplinen[TabÜberschriftNote],MV$3),FIND("X",INDEX(StdDisziplinen[TabÜberschriftNote],MV$3),1),2,MY38))</f>
        <v/>
      </c>
      <c r="ND38" s="31" t="str">
        <f ca="1">IF(OR(NC38="",FussballSkalawert[[#This Row],[Skala-Wert]]=Stammdaten!$AX$19),"",INDEX(INDIRECT(NC38),MATCH(FussballSkalawert[[#This Row],[Skala-Wert]],INDIRECT(MZ38),0)))</f>
        <v/>
      </c>
      <c r="NE38" s="31"/>
      <c r="NF38" s="37"/>
      <c r="NG38" s="190"/>
      <c r="NH38" s="586">
        <f>IF(NH$16,IF(NI$16=0.5,MROUND(HandballResultat[[#This Row],[Resultat]],NI$16),ROUND(HandballResultat[[#This Row],[Resultat]],NI$16)),ROUNDDOWN(HandballResultat[[#This Row],[Resultat]],NI$16))</f>
        <v>0</v>
      </c>
      <c r="NI38" s="191" t="str">
        <f>IF(OR(Geschlecht[[#This Row],[Geschlecht (Skala)]]="",NF$16=""),"",MID(Geschlecht[[#This Row],[Geschlecht (Skala)]],1,1)&amp;MID(NF$16,1,1))</f>
        <v/>
      </c>
      <c r="NJ38" s="190" t="str">
        <f>IF(OR(NI38="",HandballResultat[[#This Row],[Resultat]]=""),"",REPLACE(INDEX(StdDisziplinen[TabÜberschriftResultat],NF$3),FIND("X",INDEX(StdDisziplinen[TabÜberschriftResultat],NF$3),1),2,NI38))</f>
        <v/>
      </c>
      <c r="NK38" s="31" t="str">
        <f ca="1">IF(NJ38="","",IF(OR(HandballResultat[[#This Row],[Resultat]]=Stammdaten!$AX$22,HandballResultat[[#This Row],[Resultat]]=Stammdaten!$AX$19),Stammdaten!$AX$19,IF(ISNA(INDEX(INDIRECT(NJ38),MATCH(HandballGerundet[[#This Row],[Rundung]],INDIRECT(NJ38),NJ$18))),IF(NJ$18=-1,LARGE(INDIRECT(NJ38),1),SMALL(INDIRECT(NJ38),1)),INDEX(INDIRECT(NJ38),MATCH(HandballGerundet[[#This Row],[Rundung]],INDIRECT(NJ38),NJ$18)))))</f>
        <v/>
      </c>
      <c r="NM38" s="18" t="str">
        <f ca="1">IF(HandballSkalawert[[#This Row],[Skala-Wert]]="","",REPLACE(INDEX(StdDisziplinen[TabÜberschriftNote],NF$3),FIND("X",INDEX(StdDisziplinen[TabÜberschriftNote],NF$3),1),2,NI38))</f>
        <v/>
      </c>
      <c r="NN38" s="31" t="str">
        <f ca="1">IF(OR(NM38="",HandballSkalawert[[#This Row],[Skala-Wert]]=Stammdaten!$AX$19),"",INDEX(INDIRECT(NM38),MATCH(HandballSkalawert[[#This Row],[Skala-Wert]],INDIRECT(NJ38),0)))</f>
        <v/>
      </c>
      <c r="NO38" s="31"/>
      <c r="NP38" s="37"/>
      <c r="NQ38" s="190"/>
      <c r="NR38" s="586">
        <f>IF(NR$16,IF(NS$16=0.5,MROUND(UnihockeyResultat[[#This Row],[Resultat]],NS$16),ROUND(UnihockeyResultat[[#This Row],[Resultat]],NS$16)),ROUNDDOWN(UnihockeyResultat[[#This Row],[Resultat]],NS$16))</f>
        <v>0</v>
      </c>
      <c r="NS38" s="191" t="str">
        <f>IF(OR(Geschlecht[[#This Row],[Geschlecht (Skala)]]="",NP$16=""),"",MID(Geschlecht[[#This Row],[Geschlecht (Skala)]],1,1)&amp;MID(NP$16,1,1))</f>
        <v/>
      </c>
      <c r="NT38" s="190" t="str">
        <f>IF(OR(NS38="",UnihockeyResultat[[#This Row],[Resultat]]=""),"",REPLACE(INDEX(StdDisziplinen[TabÜberschriftResultat],NP$3),FIND("X",INDEX(StdDisziplinen[TabÜberschriftResultat],NP$3),1),2,NS38))</f>
        <v/>
      </c>
      <c r="NU38" s="31" t="str">
        <f ca="1">IF(NT38="","",IF(OR(UnihockeyResultat[[#This Row],[Resultat]]=Stammdaten!$AX$22,UnihockeyResultat[[#This Row],[Resultat]]=Stammdaten!$AX$19),Stammdaten!$AX$19,IF(ISNA(INDEX(INDIRECT(NT38),MATCH(UnihockeyGerundet[[#This Row],[Rundung]],INDIRECT(NT38),NT$18))),IF(NT$18=-1,LARGE(INDIRECT(NT38),1),SMALL(INDIRECT(NT38),1)),INDEX(INDIRECT(NT38),MATCH(UnihockeyGerundet[[#This Row],[Rundung]],INDIRECT(NT38),NT$18)))))</f>
        <v/>
      </c>
      <c r="NW38" s="18" t="str">
        <f ca="1">IF(UnihockeySkalawert[[#This Row],[Skala-Wert]]="","",REPLACE(INDEX(StdDisziplinen[TabÜberschriftNote],NP$3),FIND("X",INDEX(StdDisziplinen[TabÜberschriftNote],NP$3),1),2,NS38))</f>
        <v/>
      </c>
      <c r="NX38" s="31" t="str">
        <f ca="1">IF(OR(NW38="",UnihockeySkalawert[[#This Row],[Skala-Wert]]=Stammdaten!$AX$19),"",INDEX(INDIRECT(NW38),MATCH(UnihockeySkalawert[[#This Row],[Skala-Wert]],INDIRECT(NT38),0)))</f>
        <v/>
      </c>
      <c r="NY38" s="31"/>
      <c r="NZ38" s="597"/>
      <c r="OA38" s="190"/>
      <c r="OB38" s="587">
        <f>IF(OB$16,IF(OC$16=0.5,MROUND(VolleyballResultat[[#This Row],[Resultat]],OC$16),ROUND(VolleyballResultat[[#This Row],[Resultat]],OC$16)),ROUNDDOWN(VolleyballResultat[[#This Row],[Resultat]],OC$16))</f>
        <v>0</v>
      </c>
      <c r="OC38" s="191" t="str">
        <f>IF(OR(Geschlecht[[#This Row],[Geschlecht (Skala)]]="",NZ$16=""),"",MID(Geschlecht[[#This Row],[Geschlecht (Skala)]],1,1)&amp;MID(NZ$16,1,1))</f>
        <v/>
      </c>
      <c r="OD38" s="190" t="str">
        <f>IF(OR(OC38="",VolleyballResultat[[#This Row],[Resultat]]=""),"",REPLACE(INDEX(StdDisziplinen[TabÜberschriftResultat],NZ$3),FIND("X",INDEX(StdDisziplinen[TabÜberschriftResultat],NZ$3),1),2,OC38))</f>
        <v/>
      </c>
      <c r="OE38" s="192" t="str">
        <f ca="1">IF(OD38="","",IF(OR(VolleyballResultat[[#This Row],[Resultat]]=Stammdaten!$AX$22,VolleyballResultat[[#This Row],[Resultat]]=Stammdaten!$AX$19),Stammdaten!$AX$19,IF(ISNA(INDEX(INDIRECT(OD38),MATCH(VolleyballGerundet[[#This Row],[Rundung]],INDIRECT(OD38),OD$18))),IF(OD$18=-1,LARGE(INDIRECT(OD38),1),SMALL(INDIRECT(OD38),1)),INDEX(INDIRECT(OD38),MATCH(VolleyballGerundet[[#This Row],[Rundung]],INDIRECT(OD38),OD$18)))))</f>
        <v/>
      </c>
      <c r="OG38" s="18" t="str">
        <f ca="1">IF(VolleyballSkalawert[[#This Row],[Skala-Wert]]="","",REPLACE(INDEX(StdDisziplinen[TabÜberschriftNote],NZ$3),FIND("X",INDEX(StdDisziplinen[TabÜberschriftNote],NZ$3),1),2,OC38))</f>
        <v/>
      </c>
      <c r="OH38" s="31" t="str">
        <f ca="1">IF(OR(OG38="",VolleyballSkalawert[[#This Row],[Skala-Wert]]=Stammdaten!$AX$19),"",INDEX(INDIRECT(OG38),MATCH(VolleyballSkalawert[[#This Row],[Skala-Wert]],INDIRECT(OD38),0)))</f>
        <v/>
      </c>
      <c r="OI38" s="45"/>
      <c r="OJ38" s="31">
        <f ca="1">IF(BasketballSkalawert[[#This Row],[Skala-Wert]]=$A$3,$A$2,IF(BasketballNote[[#This Row],[Note]]="",0,BasketballNote[[#This Row],[Note]]))</f>
        <v>0</v>
      </c>
      <c r="OK38" s="31">
        <f ca="1">IF(FussballSkalawert[[#This Row],[Skala-Wert]]=$A$3,$A$2,IF(FussballNote[[#This Row],[Note]]="",0,FussballNote[[#This Row],[Note]]))</f>
        <v>0</v>
      </c>
      <c r="OL38" s="31">
        <f ca="1">IF(HandballSkalawert[[#This Row],[Skala-Wert]]=$A$3,$A$2,IF(HandballNote[[#This Row],[Note]]="",0,HandballNote[[#This Row],[Note]]))</f>
        <v>0</v>
      </c>
      <c r="OM38" s="31">
        <f ca="1">IF(UnihockeySkalawert[[#This Row],[Skala-Wert]]=$A$3,$A$2,IF(UnihockeyNote[[#This Row],[Note]]="",0,UnihockeyNote[[#This Row],[Note]]))</f>
        <v>0</v>
      </c>
      <c r="ON38" s="31">
        <f ca="1">IF(VolleyballSkalawert[[#This Row],[Skala-Wert]]=$A$3,$A$2,IF(VolleyballNote[[#This Row],[Note]]="",0,VolleyballNote[[#This Row],[Note]]))</f>
        <v>0</v>
      </c>
      <c r="OO38" s="202">
        <f t="shared" ca="1" si="28"/>
        <v>0</v>
      </c>
      <c r="OP38" s="202">
        <f t="shared" ca="1" si="29"/>
        <v>0</v>
      </c>
      <c r="OQ38" s="202">
        <f t="shared" ca="1" si="143"/>
        <v>0</v>
      </c>
      <c r="OR38" s="96" t="str">
        <f t="shared" ca="1" si="144"/>
        <v>!</v>
      </c>
      <c r="OS38" s="96" t="str">
        <f t="shared" ca="1" si="30"/>
        <v>!</v>
      </c>
      <c r="OT38" s="96" t="str">
        <f t="shared" ca="1" si="31"/>
        <v>!</v>
      </c>
      <c r="OU38" s="96" t="str">
        <f ca="1">IF(NOT(OQ38),INDEX(StdFehler[StdFehler],4),IF(COUNTIF(OR38:OT38,$A$2)&gt;=$OQ$13,$A$3,ROUND(AVERAGE(OR38:OT38)/$RX$4,0)*$RX$4))</f>
        <v>Zu wenige Noten</v>
      </c>
      <c r="OV38" s="244" t="str">
        <f t="shared" ca="1" si="145"/>
        <v>nd</v>
      </c>
      <c r="OW38" s="244" t="str">
        <f t="shared" ca="1" si="146"/>
        <v>nd</v>
      </c>
      <c r="OX38" s="244" t="str">
        <f t="shared" ca="1" si="147"/>
        <v>nd</v>
      </c>
      <c r="OY38" s="244" t="str">
        <f t="shared" ca="1" si="148"/>
        <v>nd</v>
      </c>
      <c r="OZ38" s="244" t="str">
        <f t="shared" ca="1" si="149"/>
        <v>nd</v>
      </c>
      <c r="PA38" s="202" t="b">
        <f t="shared" ca="1" si="150"/>
        <v>0</v>
      </c>
      <c r="PB38" s="202">
        <f t="shared" ca="1" si="151"/>
        <v>1</v>
      </c>
      <c r="PC38" s="202">
        <f t="shared" ca="1" si="152"/>
        <v>0</v>
      </c>
      <c r="PD38" s="96" t="str">
        <f t="shared" ca="1" si="153"/>
        <v/>
      </c>
      <c r="PE38" s="96" t="str">
        <f t="shared" ca="1" si="154"/>
        <v/>
      </c>
      <c r="PF38" s="200">
        <f t="shared" ca="1" si="155"/>
        <v>0</v>
      </c>
      <c r="PG38" s="202" t="str">
        <f t="shared" ca="1" si="156"/>
        <v/>
      </c>
      <c r="PH38" s="200" t="str">
        <f t="shared" ca="1" si="157"/>
        <v/>
      </c>
      <c r="PI38" s="200" t="str">
        <f t="shared" ca="1" si="158"/>
        <v/>
      </c>
      <c r="PJ38" s="200" t="str">
        <f t="shared" ca="1" si="159"/>
        <v/>
      </c>
      <c r="PK38" s="242" t="str">
        <f t="shared" ca="1" si="160"/>
        <v/>
      </c>
      <c r="PL38" s="242" t="str">
        <f t="shared" ca="1" si="161"/>
        <v/>
      </c>
      <c r="PM38" s="242" t="str">
        <f t="shared" ca="1" si="162"/>
        <v/>
      </c>
      <c r="PN38" s="242" t="str">
        <f t="shared" ca="1" si="163"/>
        <v>Erste Spielsportart</v>
      </c>
      <c r="PO38" s="242" t="str">
        <f ca="1">IF(PN38=$PM$11,Stammdaten!$AY$27,IF(PR38=$A$2,TRIM(Stammdaten!$AX$25),""))</f>
        <v>nicht durchgeführt</v>
      </c>
      <c r="PP38" s="242" t="str">
        <f t="shared" ca="1" si="164"/>
        <v/>
      </c>
      <c r="PQ38" s="202" t="str">
        <f t="shared" ca="1" si="165"/>
        <v>Erste SpielsportartResultat[@Resultat]</v>
      </c>
      <c r="PR38" s="98" t="str">
        <f t="shared" ca="1" si="166"/>
        <v/>
      </c>
      <c r="PS38" s="202" t="str">
        <f t="shared" ca="1" si="167"/>
        <v/>
      </c>
      <c r="PT38" s="202" t="str">
        <f t="shared" ca="1" si="168"/>
        <v>Erste SpielsportartSkalawert[@[Skala-Wert]]</v>
      </c>
      <c r="PU38" s="98" t="str">
        <f t="shared" ca="1" si="169"/>
        <v/>
      </c>
      <c r="PV38" s="202" t="str">
        <f t="shared" ca="1" si="170"/>
        <v/>
      </c>
      <c r="PW38" s="202" t="str">
        <f t="shared" ca="1" si="171"/>
        <v/>
      </c>
      <c r="PX38" s="202" t="str">
        <f t="shared" ca="1" si="172"/>
        <v>StdDisziplinen[MaxTextSt]</v>
      </c>
      <c r="PY38" s="202" t="str">
        <f t="shared" ca="1" si="173"/>
        <v/>
      </c>
      <c r="PZ38" s="202" t="b">
        <f t="shared" ca="1" si="174"/>
        <v>0</v>
      </c>
      <c r="QA38" s="202" t="str">
        <f t="shared" ca="1" si="175"/>
        <v/>
      </c>
      <c r="QB38" s="202" t="str">
        <f t="shared" ca="1" si="32"/>
        <v/>
      </c>
      <c r="QC38" s="202" t="str">
        <f t="shared" ca="1" si="176"/>
        <v/>
      </c>
      <c r="QD38" s="202" t="str">
        <f t="shared" ca="1" si="177"/>
        <v/>
      </c>
      <c r="QE38" s="242" t="str">
        <f t="shared" ca="1" si="178"/>
        <v/>
      </c>
      <c r="QF38" s="242" t="str">
        <f t="shared" ca="1" si="179"/>
        <v/>
      </c>
      <c r="QG38" s="242" t="str">
        <f t="shared" ca="1" si="180"/>
        <v>Zweite Spielsportart</v>
      </c>
      <c r="QH38" s="242" t="str">
        <f ca="1">IF(QG38=$QF$11,Stammdaten!$AY$27,IF(QK38=$A$2,TRIM(Stammdaten!$AX$25),""))</f>
        <v>nicht durchgeführt</v>
      </c>
      <c r="QI38" s="242" t="str">
        <f t="shared" ca="1" si="181"/>
        <v/>
      </c>
      <c r="QJ38" s="202" t="str">
        <f t="shared" ca="1" si="182"/>
        <v>Zweite SpielsportartResultat[@Resultat]</v>
      </c>
      <c r="QK38" s="98" t="str">
        <f t="shared" ca="1" si="183"/>
        <v/>
      </c>
      <c r="QL38" s="202" t="str">
        <f t="shared" ca="1" si="184"/>
        <v/>
      </c>
      <c r="QM38" s="202" t="str">
        <f t="shared" ca="1" si="185"/>
        <v>Zweite SpielsportartSkalawert[@[Skala-Wert]]</v>
      </c>
      <c r="QN38" s="98" t="str">
        <f t="shared" ca="1" si="186"/>
        <v/>
      </c>
      <c r="QO38" s="202" t="str">
        <f t="shared" ca="1" si="187"/>
        <v/>
      </c>
      <c r="QP38" s="202" t="str">
        <f t="shared" ca="1" si="188"/>
        <v/>
      </c>
      <c r="QQ38" s="202" t="str">
        <f t="shared" ca="1" si="189"/>
        <v>StdDisziplinen[MaxTextSt]</v>
      </c>
      <c r="QR38" s="202" t="str">
        <f t="shared" ca="1" si="190"/>
        <v/>
      </c>
      <c r="QS38" s="202" t="b">
        <f t="shared" ca="1" si="191"/>
        <v>0</v>
      </c>
      <c r="QT38" s="242" t="str">
        <f t="shared" ca="1" si="33"/>
        <v>Dritte Spielsportart</v>
      </c>
      <c r="QU38" s="242" t="str">
        <f ca="1">IF(QT38=$QT$11,MID(Stammdaten!$AX$27,2,LEN(Stammdaten!$AX$27)),IF(QX38=$A$2,TRIM(Stammdaten!$AX$25),""))</f>
        <v>nicht durchgeführt</v>
      </c>
      <c r="QV38" s="242" t="str">
        <f t="shared" ca="1" si="34"/>
        <v/>
      </c>
      <c r="QW38" s="202" t="str">
        <f t="shared" ca="1" si="192"/>
        <v>Dritte SpielsportartResultat[@Resultat]</v>
      </c>
      <c r="QX38" s="98" t="str">
        <f t="shared" ca="1" si="193"/>
        <v/>
      </c>
      <c r="QY38" s="202" t="str">
        <f t="shared" ca="1" si="35"/>
        <v/>
      </c>
      <c r="QZ38" s="202" t="str">
        <f t="shared" ca="1" si="194"/>
        <v>Dritte SpielsportartSkalawert[@[Skala-Wert]]</v>
      </c>
      <c r="RA38" s="98" t="str">
        <f t="shared" ca="1" si="224"/>
        <v/>
      </c>
      <c r="RB38" s="202" t="str">
        <f t="shared" ca="1" si="36"/>
        <v/>
      </c>
      <c r="RC38" s="202" t="str">
        <f t="shared" ca="1" si="196"/>
        <v/>
      </c>
      <c r="RD38" s="202" t="str">
        <f t="shared" ca="1" si="197"/>
        <v>StdDisziplinen[MaxTextSt]</v>
      </c>
      <c r="RE38" s="202" t="str">
        <f t="shared" ca="1" si="37"/>
        <v/>
      </c>
      <c r="RF38" s="244">
        <f t="shared" ca="1" si="38"/>
        <v>99</v>
      </c>
      <c r="RG38" s="244">
        <f t="shared" ca="1" si="39"/>
        <v>99</v>
      </c>
      <c r="RH38" s="244">
        <f t="shared" ca="1" si="40"/>
        <v>99</v>
      </c>
      <c r="RI38" s="244">
        <f t="shared" ca="1" si="41"/>
        <v>99</v>
      </c>
      <c r="RJ38" s="244">
        <f t="shared" ca="1" si="42"/>
        <v>99</v>
      </c>
      <c r="RK38" s="244">
        <f t="shared" ca="1" si="198"/>
        <v>99</v>
      </c>
      <c r="RL38" s="244">
        <f t="shared" ca="1" si="199"/>
        <v>99</v>
      </c>
      <c r="RM38" s="244">
        <f t="shared" ca="1" si="200"/>
        <v>99</v>
      </c>
      <c r="RN38" s="244">
        <f t="shared" ca="1" si="201"/>
        <v>99</v>
      </c>
      <c r="RO38" s="244">
        <f t="shared" ca="1" si="202"/>
        <v>99</v>
      </c>
      <c r="RP38" s="202" t="str">
        <f t="shared" ca="1" si="43"/>
        <v>Zu wenige Noten</v>
      </c>
      <c r="RQ38" s="202" t="str">
        <f t="shared" ca="1" si="203"/>
        <v>Zu wenige Noten</v>
      </c>
      <c r="RR38" s="202" t="str">
        <f t="shared" ca="1" si="203"/>
        <v>Zu wenige Noten</v>
      </c>
      <c r="RS38" s="202" t="str">
        <f t="shared" ca="1" si="204"/>
        <v>Zu wenige Noten</v>
      </c>
      <c r="RT38" s="202" t="str">
        <f t="shared" ca="1" si="204"/>
        <v>Zu wenige Noten</v>
      </c>
      <c r="RU38" s="202" t="str">
        <f t="shared" ca="1" si="205"/>
        <v>Zu wenige Noten</v>
      </c>
      <c r="RV38" s="202" t="str">
        <f t="shared" ca="1" si="206"/>
        <v>Zu wenige Noten</v>
      </c>
      <c r="RW38" s="31"/>
      <c r="RX38" s="56" t="str">
        <f t="shared" ca="1" si="44"/>
        <v>Zu wenige Noten</v>
      </c>
      <c r="RY38" s="31"/>
      <c r="RZ38" s="31" t="str">
        <f t="shared" ca="1" si="45"/>
        <v>Zu wenige Noten</v>
      </c>
      <c r="SA38" s="31" t="str">
        <f t="shared" ca="1" si="46"/>
        <v>Zu wenige Noten</v>
      </c>
      <c r="SB38" s="45" t="str">
        <f t="shared" ca="1" si="47"/>
        <v>Zu wenige Noten</v>
      </c>
      <c r="SC38" s="31" t="str">
        <f t="shared" ca="1" si="207"/>
        <v>Zu wenige Noten</v>
      </c>
      <c r="SD38" s="31" t="str">
        <f t="shared" ca="1" si="208"/>
        <v>Zu wenige Noten</v>
      </c>
      <c r="SE38" s="31" t="str">
        <f t="shared" ca="1" si="225"/>
        <v>Zu wenige Noten</v>
      </c>
      <c r="SF38" s="31" t="str">
        <f t="shared" ca="1" si="209"/>
        <v>Zu wenige Noten</v>
      </c>
      <c r="SG38" s="31" t="str">
        <f t="shared" ca="1" si="226"/>
        <v>Zu wenige Noten</v>
      </c>
      <c r="SH38" s="36">
        <f t="shared" ca="1" si="210"/>
        <v>0</v>
      </c>
      <c r="SI38" s="36">
        <f t="shared" ca="1" si="211"/>
        <v>0</v>
      </c>
      <c r="SJ38" s="36">
        <f t="shared" ca="1" si="212"/>
        <v>0</v>
      </c>
      <c r="SK38" s="31">
        <f t="shared" ca="1" si="213"/>
        <v>99</v>
      </c>
      <c r="SL38" s="31">
        <f t="shared" ca="1" si="214"/>
        <v>99</v>
      </c>
      <c r="SM38" s="36" t="str">
        <f t="shared" ca="1" si="215"/>
        <v>99.0</v>
      </c>
      <c r="SN38" s="31">
        <f t="shared" ca="1" si="216"/>
        <v>99</v>
      </c>
      <c r="SO38" s="36" t="str">
        <f ca="1">IF(NOT(SJ38),INDEX(StdFehler[StdFehler],4),IF(SI38=$SJ$13,$A$3,CONCATENATE(TEXT(SK38,"#.0"),", ",TEXT(SL38,"#.0"),", ",SM38,", ",TEXT(SN38,"#.0"))))</f>
        <v>Zu wenige Noten</v>
      </c>
      <c r="SP38" s="36" t="str">
        <f t="shared" ca="1" si="49"/>
        <v>Zu wenige Noten</v>
      </c>
      <c r="SQ38" s="36" t="str">
        <f t="shared" ca="1" si="49"/>
        <v>Zu wenige Noten</v>
      </c>
      <c r="SR38" s="36" t="str">
        <f t="shared" ca="1" si="49"/>
        <v>Zu wenige Noten</v>
      </c>
      <c r="SS38" s="36" t="str">
        <f t="shared" ca="1" si="49"/>
        <v>Zu wenige Noten</v>
      </c>
      <c r="ST38" s="36" t="str">
        <f t="shared" ca="1" si="217"/>
        <v>Zu wenige Noten</v>
      </c>
      <c r="SU38" s="36"/>
      <c r="SV38" s="214" t="str">
        <f t="shared" si="218"/>
        <v>D</v>
      </c>
      <c r="SW38" s="36"/>
      <c r="SX38" s="214" t="str">
        <f t="shared" si="219"/>
        <v>D</v>
      </c>
      <c r="SY38" s="36"/>
      <c r="SZ38" s="214" t="str">
        <f t="shared" si="220"/>
        <v>D</v>
      </c>
      <c r="TA38" s="36"/>
      <c r="TB38" s="214" t="str">
        <f t="shared" si="221"/>
        <v>D</v>
      </c>
      <c r="TC38" s="31"/>
      <c r="TD38" s="36" t="str">
        <f t="shared" ca="1" si="222"/>
        <v>Zu wenige Noten</v>
      </c>
      <c r="TE38" s="31"/>
      <c r="TF38" s="193" t="str">
        <f ca="1">IF(NOT(SJ38),INDEX(StdFehler[StdFehler],4),IF(SI38=$TF$4,$A$3,ROUND(AVERAGE(RZ38:SC38)/$TF$5,0)*$TF$5))</f>
        <v>Zu wenige Noten</v>
      </c>
      <c r="TH38" s="595" t="str">
        <f>IF(OR($TH$18=Stammdaten!$AX$20,$TH$18=""),Stammdaten!$AX$20,$TH$18)</f>
        <v>Disziplin</v>
      </c>
      <c r="TI38" s="33"/>
      <c r="TJ38" s="33" t="str">
        <f>IF(OR(Geschlecht[[#This Row],[Geschlecht (Skala)]]="",TH38="",TH38=Stammdaten!$AX$20),"",REPLACE(INDEX(StdDisziplinen[TabÜberschriftResultat],TH$3),FIND("XX",INDEX(StdDisziplinen[TabÜberschriftResultat],TH$3),1),2,Geschlecht[[#This Row],[Geschlecht (Skala)]]))</f>
        <v/>
      </c>
      <c r="TK38" s="596"/>
      <c r="TM38" s="37"/>
      <c r="TN38" s="40"/>
      <c r="TO38" s="587">
        <f>IF(TO$16,IF(TP$16=0.5,MROUND(SchwimmenResultat[[#This Row],[Resultat]],TP$16),ROUND(SchwimmenResultat[[#This Row],[Resultat]],TP$16)),ROUNDDOWN(SchwimmenResultat[[#This Row],[Resultat]],TP$16))</f>
        <v>0</v>
      </c>
      <c r="TP38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8" s="153" t="str">
        <f ca="1">IF(TP38="","",IF(OR(SchwimmenResultat[[#This Row],[Resultat]]=Stammdaten!$AX$22,SchwimmenResultat[[#This Row],[Resultat]]=Stammdaten!$AX$19),Stammdaten!$AX$19,IF(ISNA(INDEX(INDIRECT(TP38),MATCH(SchwimmenGerundet[[#This Row],[Rundung]],INDIRECT(TP38),TP$18))),IF(TP$18=-1,LARGE(INDIRECT(TP38),1),SMALL(INDIRECT(TP38),1)),INDEX(INDIRECT(TP38),MATCH(SchwimmenGerundet[[#This Row],[Rundung]],INDIRECT(TP38),TP$18)))))</f>
        <v/>
      </c>
      <c r="TR38" s="33" t="str">
        <f>IF(OR(TP38="",SchwimmenResultat[[#This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8" s="33"/>
      <c r="TT38" s="36" t="str">
        <f ca="1">IF(OR(TR38="",SchwimmenSkalawert[[#This Row],[Skala-Wert]]=Stammdaten!$AX$19),"",INDEX(INDIRECT(TR38),MATCH(SchwimmenSkalawert[[#This Row],[Skala-Wert]],INDIRECT(TP38),0)))</f>
        <v/>
      </c>
      <c r="TU38" s="36"/>
      <c r="TV38" s="190" t="str">
        <f>IF(ZwölfMinLaufHalleResultat[[#This Row],[Resultat]]=0,"",ZwölfMinLaufHalleResultat[[#This Row],[Resultat]])</f>
        <v/>
      </c>
      <c r="TW38" s="190"/>
      <c r="TX38" s="31" t="str">
        <f ca="1">ZwölfMinLaufHalleSkalawert[[#This Row],[Skala-Wert]]</f>
        <v/>
      </c>
      <c r="TZ38" s="31" t="str">
        <f ca="1">ZwölfMinLaufHalleNote[[#This Row],[Note]]</f>
        <v/>
      </c>
      <c r="UA38" s="31"/>
      <c r="UB38" s="190" t="str">
        <f>IF(ZwölfMinLaufimFreienResultat[[#This Row],[Resultat]]=0,"",ZwölfMinLaufimFreienResultat[[#This Row],[Resultat]])</f>
        <v/>
      </c>
      <c r="UC38" s="190"/>
      <c r="UD38" s="192" t="str">
        <f ca="1">ZwölfMinLaufimFreienSkalawert[[#This Row],[Skala-Wert]]</f>
        <v/>
      </c>
      <c r="UF38" s="31" t="str">
        <f ca="1">ZwölfMinLaufimFreienNote[[#This Row],[Note]]</f>
        <v/>
      </c>
      <c r="UG38" s="31"/>
      <c r="UH38" s="597"/>
      <c r="UI38" s="190"/>
      <c r="UJ38" s="587">
        <f>IF(UJ$16,IF(UK$16=0.5,MROUND(BeweglichkeitResultat[[#This Row],[Resultat]],UK$16),ROUND(BeweglichkeitResultat[[#This Row],[Resultat]],UK$16)),ROUNDDOWN(BeweglichkeitResultat[[#This Row],[Resultat]],UK$16))</f>
        <v>0</v>
      </c>
      <c r="UK38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8" s="192" t="str">
        <f ca="1">IF(UK38="","",IF(OR(BeweglichkeitResultat[[#This Row],[Resultat]]=Stammdaten!$AX$22,BeweglichkeitResultat[[#This Row],[Resultat]]=Stammdaten!$AX$19),Stammdaten!$AX$19,IF(ISNA(INDEX(INDIRECT(UK38),MATCH(BeweglichkeitGerundet[[#This Row],[Rundung]],INDIRECT(UK38),UK$18))),IF(UK$18=-1,LARGE(INDIRECT(UK38),1),SMALL(INDIRECT(UK38),1)),INDEX(INDIRECT(UK38),MATCH(BeweglichkeitGerundet[[#This Row],[Rundung]],INDIRECT(UK38),UK$18)))))</f>
        <v/>
      </c>
      <c r="UN38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8" s="36" t="str">
        <f ca="1">IF(OR(UK38="",BeweglichkeitSkalawert[[#This Row],[Skala-Wert]]=Stammdaten!$AX$19),"",INDEX(INDIRECT(UN38),MATCH(BeweglichkeitSkalawert[[#This Row],[Skala-Wert]],INDIRECT(UK38),0)))</f>
        <v/>
      </c>
      <c r="UP38" s="31"/>
      <c r="UQ38" s="597"/>
      <c r="UR38" s="190"/>
      <c r="US38" s="587">
        <f>IF(US$16,IF(UT$16=0.5,MROUND(RumpfkraftResultat[[#This Row],[Resultat]],UT$16),ROUND(RumpfkraftResultat[[#This Row],[Resultat]],UT$16)),ROUNDDOWN(RumpfkraftResultat[[#This Row],[Resultat]],UT$16))</f>
        <v>0</v>
      </c>
      <c r="UT38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8" s="192" t="str">
        <f ca="1">IF(UT38="","",IF(OR(RumpfkraftResultat[[#This Row],[Resultat]]=Stammdaten!$AX$22,RumpfkraftResultat[[#This Row],[Resultat]]=Stammdaten!$AX$19),Stammdaten!$AX$19,IF(ISNA(INDEX(INDIRECT(UT38),MATCH(RumpfkraftGerundet[[#This Row],[Rundung]],INDIRECT(UT38),UT$18))),IF(UT$18=-1,LARGE(INDIRECT(UT38),1),SMALL(INDIRECT(UT38),1)),INDEX(INDIRECT(UT38),MATCH(RumpfkraftGerundet[[#This Row],[Rundung]],INDIRECT(UT38),UT$18)))))</f>
        <v/>
      </c>
      <c r="UW38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8" s="36" t="str">
        <f ca="1">IF(OR(UT38="",RumpfkraftSkalawert[[#This Row],[Skala-Wert]]=Stammdaten!$AX$19),"",INDEX(INDIRECT(UW38),MATCH(RumpfkraftSkalawert[[#This Row],[Skala-Wert]],INDIRECT(UT38),0)))</f>
        <v/>
      </c>
      <c r="UY38" s="31"/>
      <c r="UZ38" s="190" t="str">
        <f>IF(SechzigmLaufResultat[[#This Row],[Resultat]]=0,"",SechzigmLaufResultat[[#This Row],[Resultat]])</f>
        <v/>
      </c>
      <c r="VA38" s="190"/>
      <c r="VB38" s="45" t="str">
        <f ca="1">SechzigmLaufSkalawert[[#This Row],[Skala-Wert]]</f>
        <v/>
      </c>
      <c r="VD38" s="31" t="str">
        <f ca="1">SechzigmLaufNote[[#This Row],[Note]]</f>
        <v/>
      </c>
      <c r="VE38" s="31"/>
      <c r="VF38" s="190" t="str">
        <f>IF(AchtzigmLaufResultat[[#This Row],[Resultat]]=0,"",AchtzigmLaufResultat[[#This Row],[Resultat]])</f>
        <v/>
      </c>
      <c r="VG38" s="190"/>
      <c r="VH38" s="45" t="str">
        <f ca="1">AchtzigmLaufSkalawert[[#This Row],[Skala-Wert]]</f>
        <v/>
      </c>
      <c r="VJ38" s="31" t="str">
        <f ca="1">AchtzigmLaufNote[[#This Row],[Note]]</f>
        <v/>
      </c>
      <c r="VK38" s="31"/>
      <c r="VL38" s="37"/>
      <c r="VM38" s="190"/>
      <c r="VN38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8" s="191" t="str">
        <f>IF(OR(Geschlecht[[#This Row],[Geschlecht (Skala)]]="",VL$16=""),"",MID(Geschlecht[[#This Row],[Geschlecht (Skala)]],1,1)&amp;MID(VL$16,1,1))</f>
        <v/>
      </c>
      <c r="VP38" s="190" t="str">
        <f>IF(OR(VO38="",KonditionsparcoursResultat[[#This Row],[Resultat]]=""),"",REPLACE(INDEX(StdDisziplinen[TabÜberschriftResultat],VL$3),FIND("X",INDEX(StdDisziplinen[TabÜberschriftResultat],VL$3),1),2,VO38))</f>
        <v/>
      </c>
      <c r="VQ38" s="192" t="str">
        <f ca="1">IF(VP38="","",IF(OR(KonditionsparcoursResultat[[#This Row],[Resultat]]=Stammdaten!$AX$22,KonditionsparcoursResultat[[#This Row],[Resultat]]=Stammdaten!$AX$19),Stammdaten!$AX$19,IF(ISNA(INDEX(INDIRECT(VP38),MATCH(KonditionsparcoursGerundet[[#This Row],[Rundung]],INDIRECT(VP38),VP$18))),IF(VP$18=-1,LARGE(INDIRECT(VP38),1),SMALL(INDIRECT(VP38),1)),INDEX(INDIRECT(VP38),MATCH(KonditionsparcoursGerundet[[#This Row],[Rundung]],INDIRECT(VP38),VP$18)))))</f>
        <v/>
      </c>
      <c r="VS38" s="18" t="str">
        <f ca="1">IF(KonditionsparcoursSkalawert[[#This Row],[Skala-Wert]]="","",REPLACE(INDEX(StdDisziplinen[TabÜberschriftNote],VL$3),FIND("X",INDEX(StdDisziplinen[TabÜberschriftNote],VL$3),1),2,VO38))</f>
        <v/>
      </c>
      <c r="VT38" s="31" t="str">
        <f ca="1">IF(OR(VS38="",KonditionsparcoursSkalawert[[#This Row],[Skala-Wert]]=Stammdaten!$AX$19),"",INDEX(INDIRECT(VS38),MATCH(KonditionsparcoursSkalawert[[#This Row],[Skala-Wert]],INDIRECT(VP38),0)))</f>
        <v/>
      </c>
      <c r="VU38" s="22"/>
    </row>
    <row r="39" spans="1:593" x14ac:dyDescent="0.3">
      <c r="A39" s="30">
        <v>21</v>
      </c>
      <c r="B39" s="589"/>
      <c r="C39" s="589"/>
      <c r="E39" s="591"/>
      <c r="G39" s="37"/>
      <c r="H39" s="190"/>
      <c r="I39" s="154">
        <f>IF(I$16,IF(J$16=0.5,MROUND(SechzigmLaufResultat[[#This Row],[Resultat]],J$16),ROUND(SechzigmLaufResultat[[#This Row],[Resultat]],J$16)),ROUNDDOWN(SechzigmLaufResultat[[#This Row],[Resultat]],J$16))</f>
        <v>0</v>
      </c>
      <c r="J39" s="191" t="str">
        <f>IF(OR(Geschlecht[[#This Row],[Geschlecht (Skala)]]="",G$16=""),"",MID(Geschlecht[[#This Row],[Geschlecht (Skala)]],1,1)&amp;MID(G$16,1,1))</f>
        <v/>
      </c>
      <c r="K39" s="190" t="str">
        <f>IF(OR(J39="",SechzigmLaufResultat[[#This Row],[Resultat]]=""),"",REPLACE(INDEX(StdDisziplinen[TabÜberschriftResultat],G$3),FIND("X",INDEX(StdDisziplinen[TabÜberschriftResultat],G$3),1),2,J39))</f>
        <v/>
      </c>
      <c r="L39" s="45" t="str">
        <f ca="1">IF(K39="","",IF(OR(SechzigmLaufResultat[[#This Row],[Resultat]]=Stammdaten!$AX$22,SechzigmLaufResultat[[#This Row],[Resultat]]=Stammdaten!$AX$19),Stammdaten!$AX$19,IF(ISNA(INDEX(INDIRECT(K39),MATCH(SechzigmLaufGerundet[[#This Row],[Rundung]],INDIRECT(K39),K$18))),IF(K$18=-1,LARGE(INDIRECT(K39),1),SMALL(INDIRECT(K39),1)),INDEX(INDIRECT(K39),MATCH(SechzigmLaufGerundet[[#This Row],[Rundung]],INDIRECT(K39),K$18)))))</f>
        <v/>
      </c>
      <c r="N39" s="18" t="str">
        <f ca="1">IF(SechzigmLaufSkalawert[[#This Row],[Skala-Wert]]="","",REPLACE(INDEX(StdDisziplinen[TabÜberschriftNote],G$3),FIND("X",INDEX(StdDisziplinen[TabÜberschriftNote],G$3),1),2,J39))</f>
        <v/>
      </c>
      <c r="O39" s="31" t="str">
        <f ca="1">IF(OR(N39="",SechzigmLaufSkalawert[[#This Row],[Skala-Wert]]=Stammdaten!$AX$19),"",INDEX(INDIRECT(N39),MATCH(SechzigmLaufSkalawert[[#This Row],[Skala-Wert]],INDIRECT(K39),0)))</f>
        <v/>
      </c>
      <c r="P39" s="31"/>
      <c r="Q39" s="37"/>
      <c r="R39" s="190"/>
      <c r="S39" s="154">
        <f>IF(S$16,IF(T$16=0.5,MROUND(AchtzigmLaufResultat[[#This Row],[Resultat]],T$16),ROUND(AchtzigmLaufResultat[[#This Row],[Resultat]],T$16)),ROUNDDOWN(AchtzigmLaufResultat[[#This Row],[Resultat]],T$16))</f>
        <v>0</v>
      </c>
      <c r="T39" s="191" t="str">
        <f>IF(OR(Geschlecht[[#This Row],[Geschlecht (Skala)]]="",Q$16=""),"",MID(Geschlecht[[#This Row],[Geschlecht (Skala)]],1,1)&amp;MID(Q$16,1,1))</f>
        <v/>
      </c>
      <c r="U39" s="190" t="str">
        <f>IF(OR(T39="",AchtzigmLaufResultat[[#This Row],[Resultat]]=""),"",REPLACE(INDEX(StdDisziplinen[TabÜberschriftResultat],Q$3),FIND("X",INDEX(StdDisziplinen[TabÜberschriftResultat],Q$3),1),2,T39))</f>
        <v/>
      </c>
      <c r="V39" s="45" t="str">
        <f ca="1">IF(U39="","",IF(OR(AchtzigmLaufResultat[[#This Row],[Resultat]]=Stammdaten!$AX$22,AchtzigmLaufResultat[[#This Row],[Resultat]]=Stammdaten!$AX$19),Stammdaten!$AX$19,IF(ISNA(INDEX(INDIRECT(U39),MATCH(AchtzigmLaufGerundet[[#This Row],[Rundung]],INDIRECT(U39),U$18))),IF(U$18=-1,LARGE(INDIRECT(U39),1),SMALL(INDIRECT(U39),1)),INDEX(INDIRECT(U39),MATCH(AchtzigmLaufGerundet[[#This Row],[Rundung]],INDIRECT(U39),U$18)))))</f>
        <v/>
      </c>
      <c r="X39" s="18" t="str">
        <f ca="1">IF(AchtzigmLaufSkalawert[[#This Row],[Skala-Wert]]="","",REPLACE(INDEX(StdDisziplinen[TabÜberschriftNote],Q$3),FIND("X",INDEX(StdDisziplinen[TabÜberschriftNote],Q$3),1),2,T39))</f>
        <v/>
      </c>
      <c r="Y39" s="31" t="str">
        <f ca="1">IF(OR(X39="",AchtzigmLaufSkalawert[[#This Row],[Skala-Wert]]=Stammdaten!$AX$19),"",INDEX(INDIRECT(X39),MATCH(AchtzigmLaufSkalawert[[#This Row],[Skala-Wert]],INDIRECT(U39),0)))</f>
        <v/>
      </c>
      <c r="Z39" s="31"/>
      <c r="AA39" s="37"/>
      <c r="AB39" s="190"/>
      <c r="AC39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39" s="191" t="str">
        <f>IF(OR(Geschlecht[[#This Row],[Geschlecht (Skala)]]="",AA$16=""),"",MID(Geschlecht[[#This Row],[Geschlecht (Skala)]],1,1)&amp;MID(AA$16,1,1))</f>
        <v/>
      </c>
      <c r="AE39" s="190" t="str">
        <f>IF(OR(AD39="",ZwölfMinLaufHalleResultat[[#This Row],[Resultat]]=""),"",REPLACE(INDEX(StdDisziplinen[TabÜberschriftResultat],AA$3),FIND("X",INDEX(StdDisziplinen[TabÜberschriftResultat],AA$3),1),2,AD39))</f>
        <v/>
      </c>
      <c r="AF39" s="31" t="str">
        <f ca="1">IF(AE39="","",IF(OR(ZwölfMinLaufHalleResultat[[#This Row],[Resultat]]=Stammdaten!$AX$22,ZwölfMinLaufHalleResultat[[#This Row],[Resultat]]=Stammdaten!$AX$19),Stammdaten!$AX$19,IF(ISNA(INDEX(INDIRECT(AE39),MATCH(ZwölfMinLaufHalleGerundet[[#This Row],[Rundung]],INDIRECT(AE39),AE$18))),IF(AE$18=-1,LARGE(INDIRECT(AE39),1),SMALL(INDIRECT(AE39),1)),INDEX(INDIRECT(AE39),MATCH(ZwölfMinLaufHalleGerundet[[#This Row],[Rundung]],INDIRECT(AE39),AE$18)))))</f>
        <v/>
      </c>
      <c r="AH39" s="18" t="str">
        <f ca="1">IF(ZwölfMinLaufHalleSkalawert[[#This Row],[Skala-Wert]]="","",REPLACE(INDEX(StdDisziplinen[TabÜberschriftNote],AA$3),FIND("X",INDEX(StdDisziplinen[TabÜberschriftNote],AA$3),1),2,AD39))</f>
        <v/>
      </c>
      <c r="AI39" s="31" t="str">
        <f ca="1">IF(OR(AH39="",ZwölfMinLaufHalleSkalawert[[#This Row],[Skala-Wert]]=Stammdaten!$AX$19),"",INDEX(INDIRECT(AH39),MATCH(ZwölfMinLaufHalleSkalawert[[#This Row],[Skala-Wert]],INDIRECT(AE39),0)))</f>
        <v/>
      </c>
      <c r="AJ39" s="31"/>
      <c r="AK39" s="597"/>
      <c r="AL39" s="190"/>
      <c r="AM39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39" s="191" t="str">
        <f>IF(OR(Geschlecht[[#This Row],[Geschlecht (Skala)]]="",AK$16=""),"",MID(Geschlecht[[#This Row],[Geschlecht (Skala)]],1,1)&amp;MID(AK$16,1,1))</f>
        <v/>
      </c>
      <c r="AO39" s="190" t="str">
        <f>IF(OR(AN39="",ZwölfMinLaufimFreienResultat[[#This Row],[Resultat]]=""),"",REPLACE(INDEX(StdDisziplinen[TabÜberschriftResultat],AK$3),FIND("X",INDEX(StdDisziplinen[TabÜberschriftResultat],AK$3),1),2,AN39))</f>
        <v/>
      </c>
      <c r="AP39" s="192" t="str">
        <f ca="1">IF(AO39="","",IF(OR(ZwölfMinLaufimFreienResultat[[#This Row],[Resultat]]=Stammdaten!$AX$22,ZwölfMinLaufimFreienResultat[[#This Row],[Resultat]]=Stammdaten!$AX$19),Stammdaten!$AX$19,IF(ISNA(INDEX(INDIRECT(AO39),MATCH(ZwölfMinLaufimFreienGerundet[[#This Row],[Rundung]],INDIRECT(AO39),AO$18))),IF(AO$18=-1,LARGE(INDIRECT(AO39),1),SMALL(INDIRECT(AO39),1)),INDEX(INDIRECT(AO39),MATCH(ZwölfMinLaufimFreienGerundet[[#This Row],[Rundung]],INDIRECT(AO39),AO$18)))))</f>
        <v/>
      </c>
      <c r="AR39" s="18" t="str">
        <f ca="1">IF(ZwölfMinLaufimFreienSkalawert[[#This Row],[Skala-Wert]]="","",REPLACE(INDEX(StdDisziplinen[TabÜberschriftNote],AK$3),FIND("X",INDEX(StdDisziplinen[TabÜberschriftNote],AK$3),1),2,AN39))</f>
        <v/>
      </c>
      <c r="AS39" s="31" t="str">
        <f ca="1">IF(OR(AR39="",ZwölfMinLaufimFreienSkalawert[[#This Row],[Skala-Wert]]=Stammdaten!$AX$19),"",INDEX(INDIRECT(AR39),MATCH(ZwölfMinLaufimFreienSkalawert[[#This Row],[Skala-Wert]],INDIRECT(AO39),0)))</f>
        <v/>
      </c>
      <c r="AT39" s="31"/>
      <c r="AU39" s="597"/>
      <c r="AV39" s="190"/>
      <c r="AW39" s="587">
        <f>IF(AW$16,IF(AX$16=0.5,MROUND(HochsprungResultat[[#This Row],[Resultat]],AX$16),ROUND(HochsprungResultat[[#This Row],[Resultat]],AX$16)),ROUNDDOWN(HochsprungResultat[[#This Row],[Resultat]],AX$16))</f>
        <v>0</v>
      </c>
      <c r="AX39" s="191" t="str">
        <f>IF(OR(Geschlecht[[#This Row],[Geschlecht (Skala)]]="",AU$16=""),"",MID(Geschlecht[[#This Row],[Geschlecht (Skala)]],1,1)&amp;MID(AU$16,1,1))</f>
        <v/>
      </c>
      <c r="AY39" s="190" t="str">
        <f>IF(OR(AX39="",HochsprungResultat[[#This Row],[Resultat]]=""),"",REPLACE(INDEX(StdDisziplinen[TabÜberschriftResultat],AU$3),FIND("X",INDEX(StdDisziplinen[TabÜberschriftResultat],AU$3),1),2,AX39))</f>
        <v/>
      </c>
      <c r="AZ39" s="192" t="str">
        <f ca="1">IF(AY39="","",IF(OR(HochsprungResultat[[#This Row],[Resultat]]=Stammdaten!$AX$22,HochsprungResultat[[#This Row],[Resultat]]=Stammdaten!$AX$19),Stammdaten!$AX$19,IF(ISNA(INDEX(INDIRECT(AY39),MATCH(HochsprungGerundet[[#This Row],[Rundung]],INDIRECT(AY39),AY$18))),IF(AY$18=-1,LARGE(INDIRECT(AY39),1),SMALL(INDIRECT(AY39),1)),INDEX(INDIRECT(AY39),MATCH(HochsprungGerundet[[#This Row],[Rundung]],INDIRECT(AY39),AY$18)))))</f>
        <v/>
      </c>
      <c r="BB39" s="18" t="str">
        <f ca="1">IF(HochsprungSkalawert[[#This Row],[Skala-Wert]]="","",REPLACE(INDEX(StdDisziplinen[TabÜberschriftNote],AU$3),FIND("X",INDEX(StdDisziplinen[TabÜberschriftNote],AU$3),1),2,AX39))</f>
        <v/>
      </c>
      <c r="BC39" s="31" t="str">
        <f ca="1">IF(OR(BB39="",HochsprungSkalawert[[#This Row],[Skala-Wert]]=Stammdaten!$AX$19),"",INDEX(INDIRECT(BB39),MATCH(HochsprungSkalawert[[#This Row],[Skala-Wert]],INDIRECT(AY39),0)))</f>
        <v/>
      </c>
      <c r="BD39" s="31"/>
      <c r="BE39" s="597"/>
      <c r="BF39" s="190"/>
      <c r="BG39" s="587">
        <f>IF(BG$16,IF(BH$16=0.5,MROUND(WeitsprungResultat[[#This Row],[Resultat]],BH$16),ROUND(WeitsprungResultat[[#This Row],[Resultat]],BH$16)),ROUNDDOWN(WeitsprungResultat[[#This Row],[Resultat]],BH$16))</f>
        <v>0</v>
      </c>
      <c r="BH39" s="191" t="str">
        <f>IF(OR(Geschlecht[[#This Row],[Geschlecht (Skala)]]="",BE$16=""),"",MID(Geschlecht[[#This Row],[Geschlecht (Skala)]],1,1)&amp;MID(BE$16,1,1))</f>
        <v/>
      </c>
      <c r="BI39" s="190" t="str">
        <f>IF(OR(BH39="",WeitsprungResultat[[#This Row],[Resultat]]=""),"",REPLACE(INDEX(StdDisziplinen[TabÜberschriftResultat],BE$3),FIND("X",INDEX(StdDisziplinen[TabÜberschriftResultat],BE$3),1),2,BH39))</f>
        <v/>
      </c>
      <c r="BJ39" s="192" t="str">
        <f ca="1">IF(BI39="","",IF(OR(WeitsprungResultat[[#This Row],[Resultat]]=Stammdaten!$AX$22,WeitsprungResultat[[#This Row],[Resultat]]=Stammdaten!$AX$19),Stammdaten!$AX$19,IF(ISNA(INDEX(INDIRECT(BI39),MATCH(WeitsprungGerundet[[#This Row],[Rundung]],INDIRECT(BI39),BI$18))),IF(BI$18=-1,LARGE(INDIRECT(BI39),1),SMALL(INDIRECT(BI39),1)),INDEX(INDIRECT(BI39),MATCH(WeitsprungGerundet[[#This Row],[Rundung]],INDIRECT(BI39),BI$18)))))</f>
        <v/>
      </c>
      <c r="BL39" s="18" t="str">
        <f ca="1">IF(WeitsprungSkalawert[[#This Row],[Skala-Wert]]="","",REPLACE(INDEX(StdDisziplinen[TabÜberschriftNote],BE$3),FIND("X",INDEX(StdDisziplinen[TabÜberschriftNote],BE$3),1),2,BH39))</f>
        <v/>
      </c>
      <c r="BM39" s="31" t="str">
        <f ca="1">IF(OR(BL39="",WeitsprungSkalawert[[#This Row],[Skala-Wert]]=Stammdaten!$AX$19),"",INDEX(INDIRECT(BL39),MATCH(WeitsprungSkalawert[[#This Row],[Skala-Wert]],INDIRECT(BI39),0)))</f>
        <v/>
      </c>
      <c r="BN39" s="31"/>
      <c r="BO39" s="37"/>
      <c r="BP39" s="190"/>
      <c r="BQ39" s="154">
        <f>IF(BQ$16,IF(BR$16=0.5,MROUND(BallwurfResultat[[#This Row],[Resultat]],BR$16),ROUND(BallwurfResultat[[#This Row],[Resultat]],BR$16)),ROUNDDOWN(BallwurfResultat[[#This Row],[Resultat]],BR$16))</f>
        <v>0</v>
      </c>
      <c r="BR39" s="191" t="str">
        <f>IF(OR(Geschlecht[[#This Row],[Geschlecht (Skala)]]="",BO$16=""),"",MID(Geschlecht[[#This Row],[Geschlecht (Skala)]],1,1)&amp;MID(BO$16,1,1))</f>
        <v/>
      </c>
      <c r="BS39" s="190" t="str">
        <f>IF(OR(BR39="",BallwurfResultat[[#This Row],[Resultat]]=""),"",REPLACE(INDEX(StdDisziplinen[TabÜberschriftResultat],BO$3),FIND("X",INDEX(StdDisziplinen[TabÜberschriftResultat],BO$3),1),2,BR39))</f>
        <v/>
      </c>
      <c r="BT39" s="45" t="str">
        <f ca="1">IF(BS39="","",IF(OR(BallwurfResultat[[#This Row],[Resultat]]=Stammdaten!$AX$22,BallwurfResultat[[#This Row],[Resultat]]=Stammdaten!$AX$19),Stammdaten!$AX$19,IF(ISNA(INDEX(INDIRECT(BS39),MATCH(BallwurfGerundet[[#This Row],[Rundung]],INDIRECT(BS39),BS$18))),IF(BS$18=-1,LARGE(INDIRECT(BS39),1),SMALL(INDIRECT(BS39),1)),INDEX(INDIRECT(BS39),MATCH(BallwurfGerundet[[#This Row],[Rundung]],INDIRECT(BS39),BS$18)))))</f>
        <v/>
      </c>
      <c r="BV39" s="18" t="str">
        <f ca="1">IF(BallwurfSkalawert[[#This Row],[Skala-Wert]]="","",REPLACE(INDEX(StdDisziplinen[TabÜberschriftNote],BO$3),FIND("X",INDEX(StdDisziplinen[TabÜberschriftNote],BO$3),1),2,BR39))</f>
        <v/>
      </c>
      <c r="BW39" s="31" t="str">
        <f ca="1">IF(OR(BV39="",BallwurfSkalawert[[#This Row],[Skala-Wert]]=Stammdaten!$AX$19),"",INDEX(INDIRECT(BV39),MATCH(BallwurfSkalawert[[#This Row],[Skala-Wert]],INDIRECT(BS39),0)))</f>
        <v/>
      </c>
      <c r="BX39" s="31"/>
      <c r="BY39" s="598"/>
      <c r="BZ39" s="190"/>
      <c r="CA39" s="154">
        <f>IF(CA$16,IF(CB$16=0.5,MROUND(KugelstossenResultat[[#This Row],[Resultat]],CB$16),ROUND(KugelstossenResultat[[#This Row],[Resultat]],CB$16)),ROUNDDOWN(KugelstossenResultat[[#This Row],[Resultat]],CB$16))</f>
        <v>0</v>
      </c>
      <c r="CB39" s="191" t="str">
        <f>IF(OR(Geschlecht[[#This Row],[Geschlecht (Skala)]]="",BY$16=""),"",MID(Geschlecht[[#This Row],[Geschlecht (Skala)]],1,1)&amp;MID(BY$16,1,1))</f>
        <v/>
      </c>
      <c r="CC39" s="190" t="str">
        <f>IF(OR(CB39="",KugelstossenResultat[[#This Row],[Resultat]]=""),"",REPLACE(INDEX(StdDisziplinen[TabÜberschriftResultat],BY$3),FIND("X",INDEX(StdDisziplinen[TabÜberschriftResultat],BY$3),1),2,CB39))</f>
        <v/>
      </c>
      <c r="CD39" s="194" t="str">
        <f ca="1">IF(CC39="","",IF(OR(KugelstossenResultat[[#This Row],[Resultat]]=Stammdaten!$AX$22,KugelstossenResultat[[#This Row],[Resultat]]=Stammdaten!$AX$19),Stammdaten!$AX$19,IF(ISNA(INDEX(INDIRECT(CC39),MATCH(KugelstossenGerundet[[#This Row],[Rundung]],INDIRECT(CC39),CC$18))),IF(CC$18=-1,LARGE(INDIRECT(CC39),1),SMALL(INDIRECT(CC39),1)),INDEX(INDIRECT(CC39),MATCH(KugelstossenGerundet[[#This Row],[Rundung]],INDIRECT(CC39),CC$18)))))</f>
        <v/>
      </c>
      <c r="CF39" s="18" t="str">
        <f ca="1">IF(KugelstossenSkalawert[[#This Row],[Skala-Wert]]="","",REPLACE(INDEX(StdDisziplinen[TabÜberschriftNote],BY$3),FIND("X",INDEX(StdDisziplinen[TabÜberschriftNote],BY$3),1),2,CB39))</f>
        <v/>
      </c>
      <c r="CG39" s="162" t="str">
        <f ca="1">IF(OR(CF39="",KugelstossenSkalawert[[#This Row],[Skala-Wert]]=Stammdaten!$AX$19),"",INDEX(INDIRECT(CF39),MATCH(KugelstossenSkalawert[[#This Row],[Skala-Wert]],INDIRECT(CC39),0)))</f>
        <v/>
      </c>
      <c r="CH39" s="31"/>
      <c r="CI39" s="37"/>
      <c r="CJ39" s="190"/>
      <c r="CK39" s="154">
        <f>IF(CK$16,IF(CL$16=0.5,MROUND(SpeerwurfResultat[[#This Row],[Resultat]],CL$16),ROUND(SpeerwurfResultat[[#This Row],[Resultat]],CL$16)),ROUNDDOWN(SpeerwurfResultat[[#This Row],[Resultat]],CL$16))</f>
        <v>0</v>
      </c>
      <c r="CL39" s="191" t="str">
        <f>IF(OR(Geschlecht[[#This Row],[Geschlecht (Skala)]]="",CI$16=""),"",MID(Geschlecht[[#This Row],[Geschlecht (Skala)]],1,1)&amp;MID(CI$16,1,1))</f>
        <v/>
      </c>
      <c r="CM39" s="190" t="str">
        <f>IF(OR(CL39="",SpeerwurfResultat[[#This Row],[Resultat]]=""),"",REPLACE(INDEX(StdDisziplinen[TabÜberschriftResultat],CI$3),FIND("X",INDEX(StdDisziplinen[TabÜberschriftResultat],CI$3),1),2,CL39))</f>
        <v/>
      </c>
      <c r="CN39" s="45" t="str">
        <f ca="1">IF(CM39="","",IF(OR(SpeerwurfResultat[[#This Row],[Resultat]]=Stammdaten!$AX$22,SpeerwurfResultat[[#This Row],[Resultat]]=Stammdaten!$AX$19),Stammdaten!$AX$19,IF(ISNA(INDEX(INDIRECT(CM39),MATCH(SpeerwurfGerundet[[#This Row],[Rundung]],INDIRECT(CM39),CM$18))),IF(CM$18=-1,LARGE(INDIRECT(CM39),1),SMALL(INDIRECT(CM39),1)),INDEX(INDIRECT(CM39),MATCH(SpeerwurfGerundet[[#This Row],[Rundung]],INDIRECT(CM39),CM$18)))))</f>
        <v/>
      </c>
      <c r="CP39" s="18" t="str">
        <f ca="1">IF(SpeerwurfSkalawert[[#This Row],[Skala-Wert]]="","",REPLACE(INDEX(StdDisziplinen[TabÜberschriftNote],CI$3),FIND("X",INDEX(StdDisziplinen[TabÜberschriftNote],CI$3),1),2,CL39))</f>
        <v/>
      </c>
      <c r="CQ39" s="31" t="str">
        <f ca="1">IF(OR(CP39="",SpeerwurfSkalawert[[#This Row],[Skala-Wert]]=Stammdaten!$AX$19),"",INDEX(INDIRECT(CP39),MATCH(SpeerwurfSkalawert[[#This Row],[Skala-Wert]],INDIRECT(CM39),0)))</f>
        <v/>
      </c>
      <c r="CR39" s="31"/>
      <c r="CS39" s="31" t="str">
        <f t="shared" ca="1" si="50"/>
        <v/>
      </c>
      <c r="CT39" s="31" t="str">
        <f t="shared" ca="1" si="50"/>
        <v/>
      </c>
      <c r="CU39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Row],[Skala-Wert]])&gt;0,MAX(CS39:CT39),99))</f>
        <v>Keine Note</v>
      </c>
      <c r="CV39" s="202" t="str">
        <f t="shared" ca="1" si="51"/>
        <v/>
      </c>
      <c r="CW39" s="202" t="str">
        <f ca="1">IF(CV39=$A$2,CS$10&amp;Stammdaten!$AX$25,IF(CU39=INDEX(StdFehler[],3),CS$10&amp;Stammdaten!$AX$27,INDEX(INDIRECT($B$4),MATCH(CV39,INDIRECT($B$5),0))))</f>
        <v>Sprintdisziplinen nicht durchgeführt</v>
      </c>
      <c r="CX39" s="202" t="str">
        <f ca="1">IFERROR(INDEX(INDIRECT(CX$12),MATCH(CV39,StdDisziplinen[ID],0)),"")</f>
        <v/>
      </c>
      <c r="CY39" s="202" t="e">
        <f t="shared" ca="1" si="52"/>
        <v>#N/A</v>
      </c>
      <c r="CZ39" s="202" t="e">
        <f t="shared" ca="1" si="53"/>
        <v>#N/A</v>
      </c>
      <c r="DA39" s="98" t="str">
        <f t="shared" ca="1" si="223"/>
        <v/>
      </c>
      <c r="DB39" s="202" t="e">
        <f t="shared" ca="1" si="54"/>
        <v>#N/A</v>
      </c>
      <c r="DC39" s="202" t="str">
        <f t="shared" ca="1" si="55"/>
        <v/>
      </c>
      <c r="DD39" s="31" t="str">
        <f t="shared" ca="1" si="56"/>
        <v/>
      </c>
      <c r="DE39" s="31" t="str">
        <f t="shared" ca="1" si="56"/>
        <v/>
      </c>
      <c r="DF39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Row],[Skala-Wert]])&gt;0,MAX(DD39:DE39),99))</f>
        <v>Keine Note</v>
      </c>
      <c r="DG39" s="202" t="str">
        <f t="shared" ca="1" si="57"/>
        <v/>
      </c>
      <c r="DH39" s="202" t="str">
        <f ca="1">IF(DG39=$A$2,DD$10&amp;Stammdaten!$AX$25,IF(DF39=INDEX(StdFehler[],3),DD$10&amp;Stammdaten!$AX$27,INDEX(INDIRECT($B$4),MATCH(DG39,INDIRECT($B$5),0))))</f>
        <v>Ausdauerdisziplinen nicht durchgeführt</v>
      </c>
      <c r="DI39" s="202" t="str">
        <f ca="1">IFERROR(INDEX(INDIRECT(DI$12),MATCH(DG39,StdDisziplinen[ID],0)),"")</f>
        <v/>
      </c>
      <c r="DJ39" s="202" t="e">
        <f t="shared" ca="1" si="58"/>
        <v>#N/A</v>
      </c>
      <c r="DK39" s="202" t="e">
        <f t="shared" ca="1" si="59"/>
        <v>#N/A</v>
      </c>
      <c r="DL39" s="96" t="str">
        <f t="shared" ca="1" si="60"/>
        <v/>
      </c>
      <c r="DM39" s="202" t="e">
        <f t="shared" ca="1" si="61"/>
        <v>#N/A</v>
      </c>
      <c r="DN39" s="202" t="str">
        <f t="shared" ca="1" si="62"/>
        <v/>
      </c>
      <c r="DO39" s="31" t="str">
        <f t="shared" ca="1" si="63"/>
        <v/>
      </c>
      <c r="DP39" s="31" t="str">
        <f t="shared" ca="1" si="63"/>
        <v/>
      </c>
      <c r="DQ39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Row],[Skala-Wert]])&gt;0,MAX(DO39:DP39),99))</f>
        <v>Keine Note</v>
      </c>
      <c r="DR39" s="202" t="str">
        <f t="shared" ca="1" si="64"/>
        <v/>
      </c>
      <c r="DS39" s="202" t="str">
        <f ca="1">IF(DR39=$A$2,DO$10&amp;Stammdaten!$AX$25,IF(DQ39=INDEX(StdFehler[],3),DO$10&amp;Stammdaten!$AX$27,INDEX(INDIRECT($B$4),MATCH(DR39,INDIRECT($B$5),0))))</f>
        <v>Sprungdisziplinen nicht durchgeführt</v>
      </c>
      <c r="DT39" s="202" t="str">
        <f ca="1">IFERROR(INDEX(INDIRECT(DT$12),MATCH(DR39,StdDisziplinen[ID],0)),"")</f>
        <v/>
      </c>
      <c r="DU39" s="202" t="e">
        <f t="shared" ca="1" si="65"/>
        <v>#N/A</v>
      </c>
      <c r="DV39" s="202" t="e">
        <f t="shared" ca="1" si="66"/>
        <v>#N/A</v>
      </c>
      <c r="DW39" s="202" t="str">
        <f t="shared" ca="1" si="67"/>
        <v/>
      </c>
      <c r="DX39" s="202" t="e">
        <f t="shared" ca="1" si="68"/>
        <v>#N/A</v>
      </c>
      <c r="DY39" s="202" t="str">
        <f t="shared" ca="1" si="69"/>
        <v/>
      </c>
      <c r="DZ39" s="31" t="str">
        <f ca="1">IF(BallwurfSkalawert[[#This Row],[Skala-Wert]]=$A$3,$A$2,IF(ISNUMBER(BallwurfSkalawert[[#This Row],[Skala-Wert]]),BallwurfNote[[#This Row],[Note]],"!"))</f>
        <v>!</v>
      </c>
      <c r="EA39" s="31" t="str">
        <f ca="1">IF(KugelstossenSkalawert[[#This Row],[Skala-Wert]]=$A$3,$A$2,IF(ISNUMBER(KugelstossenSkalawert[[#This Row],[Skala-Wert]]),KugelstossenNote[[#This Row],[Note]],"!"))</f>
        <v>!</v>
      </c>
      <c r="EB39" s="31" t="str">
        <f ca="1">IF(SpeerwurfSkalawert[[#This Row],[Skala-Wert]]=$A$3,$A$2,IF(ISNUMBER(SpeerwurfSkalawert[[#This Row],[Skala-Wert]]),SpeerwurfNote[[#This Row],[Note]],"!"))</f>
        <v>!</v>
      </c>
      <c r="EC39" s="95" t="str">
        <f ca="1">IF(ED39&gt;0,MAX(DZ39:EB39),IF(EE39&gt;0,99,INDEX(StdFehler[StdFehler],3)))</f>
        <v>Keine Note</v>
      </c>
      <c r="ED39" s="202">
        <f t="shared" ca="1" si="70"/>
        <v>0</v>
      </c>
      <c r="EE39" s="202">
        <f t="shared" ca="1" si="71"/>
        <v>0</v>
      </c>
      <c r="EF39" s="202" t="str">
        <f t="shared" ca="1" si="72"/>
        <v/>
      </c>
      <c r="EG39" s="202" t="str">
        <f ca="1">IF(EF39=$A$2,DZ$10&amp;Stammdaten!$AX$25,IF(EC39=INDEX(StdFehler[],3),DZ$10&amp;Stammdaten!$AX$27,INDEX(INDIRECT($B$4),MATCH(EF39,INDIRECT($B$5),0))))</f>
        <v>Wurfdisziplinen nicht durchgeführt</v>
      </c>
      <c r="EH39" s="202" t="str">
        <f ca="1">IFERROR(INDEX(INDIRECT(EH$12),MATCH(EF39,StdDisziplinen[ID],0)),"")</f>
        <v/>
      </c>
      <c r="EI39" s="202" t="e">
        <f t="shared" ca="1" si="73"/>
        <v>#N/A</v>
      </c>
      <c r="EJ39" s="202" t="e">
        <f t="shared" ca="1" si="74"/>
        <v>#N/A</v>
      </c>
      <c r="EK39" s="98" t="str">
        <f t="shared" ca="1" si="75"/>
        <v/>
      </c>
      <c r="EL39" s="202" t="e">
        <f t="shared" ca="1" si="76"/>
        <v>#N/A</v>
      </c>
      <c r="EM39" s="202" t="str">
        <f t="shared" ca="1" si="77"/>
        <v/>
      </c>
      <c r="EN39" s="200">
        <f t="shared" ca="1" si="1"/>
        <v>0</v>
      </c>
      <c r="EO39" s="202">
        <f t="shared" ca="1" si="78"/>
        <v>0</v>
      </c>
      <c r="EP39" s="96">
        <f t="shared" ca="1" si="2"/>
        <v>0</v>
      </c>
      <c r="EQ39" s="96">
        <f t="shared" ca="1" si="3"/>
        <v>0</v>
      </c>
      <c r="ER39" s="96">
        <f t="shared" ca="1" si="4"/>
        <v>0</v>
      </c>
      <c r="ES39" s="96">
        <f t="shared" ca="1" si="5"/>
        <v>0</v>
      </c>
      <c r="ET39" s="202">
        <f t="shared" ca="1" si="79"/>
        <v>0</v>
      </c>
      <c r="EU39" s="202" t="str">
        <f ca="1">IF($EO39=$FA$4,Stammdaten!$AX$19,IF(COUNTIF($EP39:$ES39,0)&lt;&gt;0,INDEX(StdFehler[StdFehler],4),ROUND(SUM($ET39/$EN39)/$FC$4,0)*$FC$4))</f>
        <v>Zu wenige Noten</v>
      </c>
      <c r="EV39" s="202" t="str">
        <f t="shared" ca="1" si="6"/>
        <v>Zu wenige Noten</v>
      </c>
      <c r="EW39" s="202" t="str">
        <f t="shared" ca="1" si="80"/>
        <v>Zu wenige Noten</v>
      </c>
      <c r="EX39" s="202" t="str">
        <f t="shared" ca="1" si="80"/>
        <v>Zu wenige Noten</v>
      </c>
      <c r="EY39" s="202" t="str">
        <f t="shared" ca="1" si="80"/>
        <v>Zu wenige Noten</v>
      </c>
      <c r="EZ39" s="202" t="str">
        <f t="shared" ca="1" si="81"/>
        <v>Zu wenige Noten</v>
      </c>
      <c r="FA39" s="202" t="str">
        <f t="shared" ca="1" si="82"/>
        <v>Zu wenige Noten</v>
      </c>
      <c r="FB39" s="31"/>
      <c r="FC39" s="56" t="str">
        <f t="shared" ca="1" si="83"/>
        <v>Zu wenige Noten</v>
      </c>
      <c r="FD39" s="31"/>
      <c r="FE39" s="597"/>
      <c r="FF39" s="190"/>
      <c r="FJ39" s="31"/>
      <c r="FK39" s="597"/>
      <c r="FL39" s="190"/>
      <c r="FP39" s="31"/>
      <c r="FQ39" s="597"/>
      <c r="FR39" s="190"/>
      <c r="FV39" s="31"/>
      <c r="FW39" s="597"/>
      <c r="FX39" s="190"/>
      <c r="GB39" s="31"/>
      <c r="GC39" s="597"/>
      <c r="GD39" s="190"/>
      <c r="GF39" s="154"/>
      <c r="GH39" s="31"/>
      <c r="GI39" s="597"/>
      <c r="GJ39" s="190"/>
      <c r="GN39" s="45"/>
      <c r="GO39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39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39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39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39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39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39" s="202">
        <f t="shared" si="7"/>
        <v>0</v>
      </c>
      <c r="GV39" s="202">
        <f t="shared" si="8"/>
        <v>0</v>
      </c>
      <c r="GW39" s="202">
        <f t="shared" si="84"/>
        <v>0</v>
      </c>
      <c r="GX39" s="200" t="str">
        <f t="shared" si="85"/>
        <v>!</v>
      </c>
      <c r="GY39" s="200" t="str">
        <f t="shared" si="9"/>
        <v>!</v>
      </c>
      <c r="GZ39" s="200" t="str">
        <f t="shared" si="10"/>
        <v>!</v>
      </c>
      <c r="HA39" s="244" t="str">
        <f t="shared" si="86"/>
        <v>nd</v>
      </c>
      <c r="HB39" s="244" t="str">
        <f t="shared" si="87"/>
        <v>nd</v>
      </c>
      <c r="HC39" s="244" t="str">
        <f t="shared" si="88"/>
        <v>nd</v>
      </c>
      <c r="HD39" s="244" t="str">
        <f t="shared" si="89"/>
        <v>nd</v>
      </c>
      <c r="HE39" s="244" t="str">
        <f t="shared" si="90"/>
        <v>nd</v>
      </c>
      <c r="HF39" s="244" t="str">
        <f t="shared" si="91"/>
        <v>nd</v>
      </c>
      <c r="HG39" s="202" t="b">
        <f t="shared" si="92"/>
        <v>0</v>
      </c>
      <c r="HH39" s="202">
        <f t="shared" si="93"/>
        <v>1</v>
      </c>
      <c r="HI39" s="202">
        <f t="shared" si="94"/>
        <v>0</v>
      </c>
      <c r="HJ39" s="200" t="str">
        <f t="shared" si="95"/>
        <v/>
      </c>
      <c r="HK39" s="200" t="str">
        <f t="shared" si="96"/>
        <v/>
      </c>
      <c r="HL39" s="200">
        <f t="shared" si="97"/>
        <v>0</v>
      </c>
      <c r="HM39" s="202" t="str">
        <f t="shared" si="98"/>
        <v/>
      </c>
      <c r="HN39" s="200" t="str">
        <f t="shared" si="99"/>
        <v/>
      </c>
      <c r="HO39" s="200" t="str">
        <f t="shared" si="100"/>
        <v/>
      </c>
      <c r="HP39" s="200" t="str">
        <f t="shared" si="101"/>
        <v/>
      </c>
      <c r="HQ39" s="242" t="str">
        <f t="shared" si="102"/>
        <v/>
      </c>
      <c r="HR39" s="242" t="str">
        <f t="shared" si="103"/>
        <v/>
      </c>
      <c r="HS39" s="242" t="str">
        <f t="shared" si="104"/>
        <v/>
      </c>
      <c r="HT39" s="242" t="str">
        <f t="shared" ca="1" si="105"/>
        <v>Erstes Gerät</v>
      </c>
      <c r="HU39" s="242" t="str">
        <f ca="1">IF(HT39=$HS$12,Stammdaten!$AY$27,IF(HW39=$A$2,TRIM(Stammdaten!$AX$25),""))</f>
        <v>nicht durchgeführt</v>
      </c>
      <c r="HV39" s="242" t="str">
        <f t="shared" ca="1" si="106"/>
        <v/>
      </c>
      <c r="HW39" s="277" t="str">
        <f t="shared" si="11"/>
        <v/>
      </c>
      <c r="HX39" s="202" t="str">
        <f t="shared" si="107"/>
        <v/>
      </c>
      <c r="HY39" s="202" t="str">
        <f t="shared" ca="1" si="108"/>
        <v/>
      </c>
      <c r="HZ39" s="202" t="str">
        <f t="shared" ca="1" si="109"/>
        <v>StdDisziplinen[MaxTextSt]</v>
      </c>
      <c r="IA39" s="202" t="str">
        <f t="shared" ca="1" si="12"/>
        <v/>
      </c>
      <c r="IB39" s="202" t="b">
        <f t="shared" si="110"/>
        <v>0</v>
      </c>
      <c r="IC39" s="202" t="str">
        <f t="shared" si="111"/>
        <v/>
      </c>
      <c r="ID39" s="202" t="str">
        <f t="shared" si="112"/>
        <v/>
      </c>
      <c r="IE39" s="202" t="str">
        <f t="shared" si="113"/>
        <v/>
      </c>
      <c r="IF39" s="202" t="str">
        <f t="shared" si="114"/>
        <v/>
      </c>
      <c r="IG39" s="242" t="str">
        <f t="shared" si="115"/>
        <v/>
      </c>
      <c r="IH39" s="242" t="str">
        <f t="shared" si="116"/>
        <v/>
      </c>
      <c r="II39" s="242" t="str">
        <f t="shared" ca="1" si="13"/>
        <v>Zweites Gerät</v>
      </c>
      <c r="IJ39" s="242" t="str">
        <f ca="1">IF(II39=$IH$12,Stammdaten!$AY$27,IF(IL39=$A$2,TRIM(Stammdaten!$AX$25),""))</f>
        <v>nicht durchgeführt</v>
      </c>
      <c r="IK39" s="242" t="str">
        <f t="shared" ca="1" si="117"/>
        <v/>
      </c>
      <c r="IL39" s="200" t="str">
        <f t="shared" si="14"/>
        <v/>
      </c>
      <c r="IM39" s="202" t="str">
        <f t="shared" si="118"/>
        <v/>
      </c>
      <c r="IN39" s="202" t="str">
        <f t="shared" ca="1" si="119"/>
        <v/>
      </c>
      <c r="IO39" s="202" t="str">
        <f t="shared" ca="1" si="120"/>
        <v>StdDisziplinen[MaxTextSt]</v>
      </c>
      <c r="IP39" s="202" t="str">
        <f t="shared" ca="1" si="121"/>
        <v/>
      </c>
      <c r="IQ39" s="202" t="b">
        <f t="shared" si="122"/>
        <v>0</v>
      </c>
      <c r="IR39" s="242" t="str">
        <f t="shared" ca="1" si="15"/>
        <v>Drittes Gerät</v>
      </c>
      <c r="IS39" s="242" t="str">
        <f ca="1">IF(IR39=$IR$12,MID(Stammdaten!$AX$27,2,LEN(Stammdaten!$AX$27)),IF(IU39=$A$2,TRIM(Stammdaten!$AX$25),""))</f>
        <v>nicht durchgeführt</v>
      </c>
      <c r="IT39" s="242" t="str">
        <f t="shared" ca="1" si="16"/>
        <v/>
      </c>
      <c r="IU39" s="200" t="str">
        <f t="shared" si="17"/>
        <v/>
      </c>
      <c r="IV39" s="202" t="str">
        <f t="shared" si="123"/>
        <v/>
      </c>
      <c r="IW39" s="202" t="str">
        <f t="shared" ca="1" si="124"/>
        <v/>
      </c>
      <c r="IX39" s="202" t="str">
        <f t="shared" ca="1" si="125"/>
        <v>StdDisziplinen[MaxTextSt]</v>
      </c>
      <c r="IY39" s="202" t="str">
        <f t="shared" ca="1" si="18"/>
        <v/>
      </c>
      <c r="IZ39" s="200" t="str">
        <f>IF(NOT(GW39),INDEX(StdFehler[StdFehler],4),IF(COUNTIF(GX39:GZ39,$A$2)&gt;=$IZ$4,$A$3,SUM(GX39:GZ39)))</f>
        <v>Zu wenige Noten</v>
      </c>
      <c r="JA39" s="31"/>
      <c r="JB39" s="587" t="e">
        <f t="shared" si="19"/>
        <v>#VALUE!</v>
      </c>
      <c r="JC39" s="191" t="str">
        <f>IF(OR(Geschlecht[[#This Row],[Geschlecht (Skala)]]="",IZ39=""),"",MID(Geschlecht[[#This Row],[Geschlecht (Skala)]],1,1)&amp;MID($FE$16,1,1))</f>
        <v/>
      </c>
      <c r="JD39" s="190" t="str">
        <f>IF(OR(JC39="",IZ39=""),"",REPLACE(INDEX(StdDisziplinen[TabÜberschriftResultat],$FE$3),FIND("X",INDEX(StdDisziplinen[TabÜberschriftResultat],$FE$3),1),2,JC39))</f>
        <v/>
      </c>
      <c r="JE39" s="192" t="str">
        <f ca="1">IF(OR(JD39="",IZ39=Stammdaten!$AZ$5),"",IF(OR(IZ39=Stammdaten!$AX$22,IZ39=Stammdaten!$AX$19),Stammdaten!$AX$19,IF(ISNA(INDEX(INDIRECT(JD39),MATCH(GeräteturnenGerundet[[#This Row],[Rundung]],INDIRECT(JD39),$JD$16))),IF($JD$16=-1,LARGE(INDIRECT(JD39),1),SMALL(INDIRECT(JD39),1)),INDEX(INDIRECT(JD39),MATCH(GeräteturnenGerundet[[#This Row],[Rundung]],INDIRECT(JD39),$JD$16)))))</f>
        <v/>
      </c>
      <c r="JG39" s="18" t="str">
        <f ca="1">IF(GeräteturnenSkalawert[[#This Row],[Skala-Wert]]="","",REPLACE(INDEX(StdDisziplinen[TabÜberschriftNote],$FE$3),FIND("X",INDEX(StdDisziplinen[TabÜberschriftNote],$FE$3),1),2,JC39))</f>
        <v/>
      </c>
      <c r="JH39" s="45" t="str">
        <f ca="1">IF(OR(JG39="",GeräteturnenSkalawert[[#This Row],[Skala-Wert]]=Stammdaten!$AX$19),"",INDEX(INDIRECT(JG39),MATCH(GeräteturnenSkalawert[[#This Row],[Skala-Wert]],INDIRECT(JD39),0)))</f>
        <v/>
      </c>
      <c r="JI39" s="31"/>
      <c r="JJ39" s="597"/>
      <c r="JK39" s="190"/>
      <c r="JL39" s="587">
        <f>IF(JL$16,IF(JM$16=0.5,MROUND(ParkourResultat[[#This Row],[Resultat]],JM$16),ROUND(ParkourResultat[[#This Row],[Resultat]],JM$16)),ROUNDDOWN(ParkourResultat[[#This Row],[Resultat]],JM$16))</f>
        <v>0</v>
      </c>
      <c r="JM39" s="191" t="str">
        <f>IF(OR(Geschlecht[[#This Row],[Geschlecht (Skala)]]="",JJ$16=""),"",MID(Geschlecht[[#This Row],[Geschlecht (Skala)]],1,1)&amp;MID(JJ$16,1,1))</f>
        <v/>
      </c>
      <c r="JN39" s="190" t="str">
        <f>IF(OR(JM39="",ParkourResultat[[#This Row],[Resultat]]=""),"",REPLACE(INDEX(StdDisziplinen[TabÜberschriftResultat],JJ$3),FIND("X",INDEX(StdDisziplinen[TabÜberschriftResultat],JJ$3),1),2,JM39))</f>
        <v/>
      </c>
      <c r="JO39" s="192" t="str">
        <f ca="1">IF(JN39="","",IF(OR(ParkourResultat[[#This Row],[Resultat]]=Stammdaten!$AX$22,ParkourResultat[[#This Row],[Resultat]]=Stammdaten!$AX$19),Stammdaten!$AX$19,IF(ISNA(INDEX(INDIRECT(JN39),MATCH(ParkourGerundet[[#This Row],[Rundung]],INDIRECT(JN39),JN$18))),IF(JN$18=-1,LARGE(INDIRECT(JN39),1),SMALL(INDIRECT(JN39),1)),INDEX(INDIRECT(JN39),MATCH(ParkourGerundet[[#This Row],[Rundung]],INDIRECT(JN39),JN$18)))))</f>
        <v/>
      </c>
      <c r="JQ39" s="18" t="str">
        <f ca="1">IF(ParkourSkalawert[[#This Row],[Skala-Wert]]="","",REPLACE(INDEX(StdDisziplinen[TabÜberschriftNote],JJ$3),FIND("X",INDEX(StdDisziplinen[TabÜberschriftNote],JJ$3),1),2,JM39))</f>
        <v/>
      </c>
      <c r="JR39" s="31" t="str">
        <f ca="1">IF(OR(JQ39="",ParkourSkalawert[[#This Row],[Skala-Wert]]=Stammdaten!$AX$19),"",INDEX(INDIRECT(JQ39),MATCH(ParkourSkalawert[[#This Row],[Skala-Wert]],INDIRECT(JN39),0)))</f>
        <v/>
      </c>
      <c r="JS39" s="96"/>
      <c r="JT39" s="47" t="str">
        <f ca="1">IF(OR(ISNUMBER(ParkourSkalawert[[#This Row],[Skala-Wert]]),ParkourSkalawert[[#This Row],[Skala-Wert]]=$A$3),INDEX(INDIRECT($JU$1),MATCH($JJ$3,INDIRECT($B$5),0)),"")</f>
        <v/>
      </c>
      <c r="JU39" s="200" t="str">
        <f t="shared" ca="1" si="126"/>
        <v>StdDisziplinen[MaxTextSt]</v>
      </c>
      <c r="JV39" s="200" t="str">
        <f t="shared" ca="1" si="127"/>
        <v/>
      </c>
      <c r="JW39" s="98">
        <f ca="1">IF(GeräteturnenSkalawert[[#This Row],[Skala-Wert]]=$A$3,$A$2,IF(GeräteturnenNote[[#This Row],[Note]]="",0,GeräteturnenNote[[#This Row],[Note]]))</f>
        <v>0</v>
      </c>
      <c r="JX39" s="96">
        <f ca="1">IF(ParkourSkalawert[[#This Row],[Skala-Wert]]=$A$3,$A$2,IF(ParkourNote[[#This Row],[Note]]="",0,ParkourNote[[#This Row],[Note]]))</f>
        <v>0</v>
      </c>
      <c r="JY39" s="200">
        <f t="shared" ca="1" si="128"/>
        <v>0</v>
      </c>
      <c r="JZ39" s="200">
        <f t="shared" ca="1" si="129"/>
        <v>0</v>
      </c>
      <c r="KA39" s="202">
        <f t="shared" ca="1" si="130"/>
        <v>0</v>
      </c>
      <c r="KB39" s="98" t="str">
        <f t="shared" ca="1" si="20"/>
        <v>!</v>
      </c>
      <c r="KC39" s="98" t="str">
        <f t="shared" ca="1" si="21"/>
        <v>!</v>
      </c>
      <c r="KD39" s="202" t="str">
        <f ca="1">IF(NOT(KA39),INDEX(StdFehler[StdFehler],4),IF(JZ39=$KA$12,$A$3,IF(JW39=$A$2,JX39,IF(JX39=$A$2,JW39,CONCATENATE(JW39,", ",JX39)))))</f>
        <v>Zu wenige Noten</v>
      </c>
      <c r="KE39" s="202" t="str">
        <f t="shared" ca="1" si="131"/>
        <v>Zu wenige Noten</v>
      </c>
      <c r="KF39" s="31"/>
      <c r="KG39" s="56" t="str">
        <f ca="1">IF(NOT(KA39),INDEX(StdFehler[StdFehler],4),IF(JZ39=$KA$12,$A$3,ROUND(AVERAGE(KB39:KC39)/$KG$4,0)*$KG$4))</f>
        <v>Zu wenige Noten</v>
      </c>
      <c r="KH39" s="31"/>
      <c r="KI39" s="599"/>
      <c r="KJ39" s="190"/>
      <c r="KK39" s="586">
        <f>IF(KK$16,IF(KL$16=0.5,MROUND(TanzenResultat[[#This Row],[Resultat]],KL$16),ROUND(TanzenResultat[[#This Row],[Resultat]],KL$16)),ROUNDDOWN(TanzenResultat[[#This Row],[Resultat]],KL$16))</f>
        <v>0</v>
      </c>
      <c r="KL39" s="191" t="str">
        <f>IF(OR(Geschlecht[[#This Row],[Geschlecht (Skala)]]="",KI$16=""),"",MID(Geschlecht[[#This Row],[Geschlecht (Skala)]],1,1)&amp;MID(KI$16,1,1))</f>
        <v/>
      </c>
      <c r="KM39" s="190" t="str">
        <f>IF(OR(KL39="",TanzenResultat[[#This Row],[Resultat]]=""),"",REPLACE(INDEX(StdDisziplinen[TabÜberschriftResultat],KI$3),FIND("X",INDEX(StdDisziplinen[TabÜberschriftResultat],KI$3),1),2,KL39))</f>
        <v/>
      </c>
      <c r="KN39" s="31" t="str">
        <f ca="1">IF(KM39="","",IF(OR(TanzenResultat[[#This Row],[Resultat]]=Stammdaten!$AX$22,TanzenResultat[[#This Row],[Resultat]]=Stammdaten!$AX$19),Stammdaten!$AX$19,IF(ISNA(INDEX(INDIRECT(KM39),MATCH(TanzenGerundet[[#This Row],[Rundung]],INDIRECT(KM39),KM$18))),IF(KM$18=-1,LARGE(INDIRECT(KM39),1),SMALL(INDIRECT(KM39),1)),INDEX(INDIRECT(KM39),MATCH(TanzenGerundet[[#This Row],[Rundung]],INDIRECT(KM39),KM$18)))))</f>
        <v/>
      </c>
      <c r="KP39" s="18" t="str">
        <f ca="1">IF(TanzenSkalawert[[#This Row],[Skala-Wert]]="","",REPLACE(INDEX(StdDisziplinen[TabÜberschriftNote],KI$3),FIND("X",INDEX(StdDisziplinen[TabÜberschriftNote],KI$3),1),2,KL39))</f>
        <v/>
      </c>
      <c r="KQ39" s="45" t="str">
        <f ca="1">IF(OR(KP39="",TanzenSkalawert[[#This Row],[Skala-Wert]]=Stammdaten!$AX$19),"",INDEX(INDIRECT(KP39),MATCH(TanzenSkalawert[[#This Row],[Skala-Wert]],INDIRECT(KM39),0)))</f>
        <v/>
      </c>
      <c r="KR39" s="31"/>
      <c r="KS39" s="597"/>
      <c r="KT39" s="190"/>
      <c r="KU39" s="587">
        <f>IF(KU$16,IF(KV$16=0.5,MROUND(RopeSkippingResultat[[#This Row],[Resultat]],KV$16),ROUND(RopeSkippingResultat[[#This Row],[Resultat]],KV$16)),ROUNDDOWN(RopeSkippingResultat[[#This Row],[Resultat]],KV$16))</f>
        <v>0</v>
      </c>
      <c r="KV39" s="191" t="str">
        <f>IF(OR(Geschlecht[[#This Row],[Geschlecht (Skala)]]="",KS$16=""),"",MID(Geschlecht[[#This Row],[Geschlecht (Skala)]],1,1)&amp;MID(KS$16,1,1))</f>
        <v/>
      </c>
      <c r="KW39" s="190" t="str">
        <f>IF(OR(KV39="",RopeSkippingResultat[[#This Row],[Resultat]]=""),"",REPLACE(INDEX(StdDisziplinen[TabÜberschriftResultat],KS$3),FIND("X",INDEX(StdDisziplinen[TabÜberschriftResultat],KS$3),1),2,KV39))</f>
        <v/>
      </c>
      <c r="KX39" s="192" t="str">
        <f ca="1">IF(KW39="","",IF(OR(RopeSkippingResultat[[#This Row],[Resultat]]=Stammdaten!$AX$22,RopeSkippingResultat[[#This Row],[Resultat]]=Stammdaten!$AX$19),Stammdaten!$AX$19,IF(ISNA(INDEX(INDIRECT(KW39),MATCH(RopeSkippingGerundet[[#This Row],[Rundung]],INDIRECT(KW39),KW$18))),IF(KW$18=-1,LARGE(INDIRECT(KW39),1),SMALL(INDIRECT(KW39),1)),INDEX(INDIRECT(KW39),MATCH(RopeSkippingGerundet[[#This Row],[Rundung]],INDIRECT(KW39),KW$18)))))</f>
        <v/>
      </c>
      <c r="KZ39" s="18" t="str">
        <f ca="1">IF(RopeSkippingSkalawert[[#This Row],[Skala-Wert]]="","",REPLACE(INDEX(StdDisziplinen[TabÜberschriftNote],KS$3),FIND("X",INDEX(StdDisziplinen[TabÜberschriftNote],KS$3),1),2,KV39))</f>
        <v/>
      </c>
      <c r="LA39" s="45" t="str">
        <f ca="1">IF(OR(KZ39="",RopeSkippingSkalawert[[#This Row],[Skala-Wert]]=Stammdaten!$AX$19),"",INDEX(INDIRECT(KZ39),MATCH(RopeSkippingSkalawert[[#This Row],[Skala-Wert]],INDIRECT(KW39),0)))</f>
        <v/>
      </c>
      <c r="LB39" s="31"/>
      <c r="LC39" s="599"/>
      <c r="LD39" s="190"/>
      <c r="LE39" s="586">
        <f>IF(LE$16,IF(LF$16=0.5,MROUND(AerobicResultat[[#This Row],[Resultat]],LF$16),ROUND(AerobicResultat[[#This Row],[Resultat]],LF$16)),ROUNDDOWN(AerobicResultat[[#This Row],[Resultat]],LF$16))</f>
        <v>0</v>
      </c>
      <c r="LF39" s="191" t="str">
        <f>IF(OR(Geschlecht[[#This Row],[Geschlecht (Skala)]]="",LC$16=""),"",MID(Geschlecht[[#This Row],[Geschlecht (Skala)]],1,1)&amp;MID(LC$16,1,1))</f>
        <v/>
      </c>
      <c r="LG39" s="190" t="str">
        <f>IF(OR(LF39="",AerobicResultat[[#This Row],[Resultat]]=""),"",REPLACE(INDEX(StdDisziplinen[TabÜberschriftResultat],LC$3),FIND("X",INDEX(StdDisziplinen[TabÜberschriftResultat],LC$3),1),2,LF39))</f>
        <v/>
      </c>
      <c r="LH39" s="31" t="str">
        <f ca="1">IF(LG39="","",IF(OR(AerobicResultat[[#This Row],[Resultat]]=Stammdaten!$AX$22,AerobicResultat[[#This Row],[Resultat]]=Stammdaten!$AX$19),Stammdaten!$AX$19,IF(ISNA(INDEX(INDIRECT(LG39),MATCH(AerobicGerundet[[#This Row],[Rundung]],INDIRECT(LG39),LG$18))),IF(LG$18=-1,LARGE(INDIRECT(LG39),1),SMALL(INDIRECT(LG39),1)),INDEX(INDIRECT(LG39),MATCH(AerobicGerundet[[#This Row],[Rundung]],INDIRECT(LG39),LG$18)))))</f>
        <v/>
      </c>
      <c r="LJ39" s="18" t="str">
        <f ca="1">IF(AerobicSkalawert[[#This Row],[Skala-Wert]]="","",REPLACE(INDEX(StdDisziplinen[TabÜberschriftNote],LC$3),FIND("X",INDEX(StdDisziplinen[TabÜberschriftNote],LC$3),1),2,LF39))</f>
        <v/>
      </c>
      <c r="LK39" s="45" t="str">
        <f ca="1">IF(OR(LJ39="",AerobicSkalawert[[#This Row],[Skala-Wert]]=Stammdaten!$AX$19),"",INDEX(INDIRECT(LJ39),MATCH(AerobicSkalawert[[#This Row],[Skala-Wert]],INDIRECT(LG39),0)))</f>
        <v/>
      </c>
      <c r="LL39" s="31"/>
      <c r="LM39" s="45" t="str">
        <f ca="1">IF(TanzenSkalawert[[#This Row],[Skala-Wert]]=$A$3,$A$2,IF(ISNUMBER(TanzenSkalawert[[#This Row],[Skala-Wert]]),TanzenNote[[#This Row],[Note]],"!"))</f>
        <v>!</v>
      </c>
      <c r="LN39" s="45" t="str">
        <f ca="1">IF(RopeSkippingSkalawert[[#This Row],[Skala-Wert]]=$A$3,$A$2,IF(ISNUMBER(RopeSkippingSkalawert[[#This Row],[Skala-Wert]]),RopeSkippingNote[[#This Row],[Note]],"!"))</f>
        <v>!</v>
      </c>
      <c r="LO39" s="45" t="str">
        <f ca="1">IF(AerobicSkalawert[[#This Row],[Skala-Wert]]=$A$3,$A$2,IF(ISNUMBER(AerobicSkalawert[[#This Row],[Skala-Wert]]),AerobicNote[[#This Row],[Note]],"!"))</f>
        <v>!</v>
      </c>
      <c r="LP39" s="36">
        <f t="shared" ca="1" si="132"/>
        <v>0</v>
      </c>
      <c r="LQ39" s="36">
        <f t="shared" ca="1" si="133"/>
        <v>0</v>
      </c>
      <c r="LR39" s="244" t="str">
        <f t="shared" ca="1" si="22"/>
        <v>nd</v>
      </c>
      <c r="LS39" s="244" t="str">
        <f t="shared" ca="1" si="23"/>
        <v>nd</v>
      </c>
      <c r="LT39" s="244" t="str">
        <f t="shared" ca="1" si="24"/>
        <v>nd</v>
      </c>
      <c r="LU39" s="242" t="str">
        <f t="shared" ca="1" si="25"/>
        <v/>
      </c>
      <c r="LV39" s="242" t="str">
        <f t="shared" ca="1" si="134"/>
        <v/>
      </c>
      <c r="LW39" s="242" t="str">
        <f t="shared" ca="1" si="135"/>
        <v/>
      </c>
      <c r="LX39" s="242" t="str">
        <f ca="1">IF(LW39="",Stammdaten!$AM$4,INDEX(INDIRECT($B$4),MATCH($LW39,INDIRECT($B$5),0)))</f>
        <v>Darstellen und Tanzen</v>
      </c>
      <c r="LY39" s="242" t="str">
        <f ca="1">IF(LW39="",Stammdaten!$AY$27,IF(ISNUMBER(LU39),LX39,IF(ISNUMBER(LV39),TRIM(Stammdaten!$AX$25),"")))</f>
        <v>nicht durchgeführt</v>
      </c>
      <c r="LZ39" s="242" t="str">
        <f t="shared" ca="1" si="136"/>
        <v>Darstellen und Tanzen</v>
      </c>
      <c r="MA39" s="242" t="str">
        <f t="shared" ca="1" si="137"/>
        <v/>
      </c>
      <c r="MB39" s="242" t="str">
        <f t="shared" ca="1" si="26"/>
        <v>Darstellen und TanzenResultat[@Resultat]</v>
      </c>
      <c r="MC39" s="274" t="str">
        <f t="shared" ca="1" si="138"/>
        <v/>
      </c>
      <c r="MD39" s="242" t="str">
        <f t="shared" ca="1" si="139"/>
        <v>Darstellen und TanzenSkalawert[@[Skala-Wert]]</v>
      </c>
      <c r="ME39" s="274" t="str">
        <f t="shared" ca="1" si="140"/>
        <v/>
      </c>
      <c r="MF39" s="47" t="str">
        <f t="shared" ca="1" si="27"/>
        <v/>
      </c>
      <c r="MG39" s="200" t="str">
        <f t="shared" ca="1" si="141"/>
        <v>StdDisziplinen[MaxTextSt]</v>
      </c>
      <c r="MH39" s="200" t="str">
        <f t="shared" ca="1" si="142"/>
        <v/>
      </c>
      <c r="MI39" s="45"/>
      <c r="MJ39" s="98" t="str">
        <f ca="1">IF(LP39&gt;0,MAX(LM39:LO39),IF(LQ39&gt;0,$A$3,INDEX(StdFehler[StdFehler],4)))</f>
        <v>Zu wenige Noten</v>
      </c>
      <c r="MK39" s="45"/>
      <c r="ML39" s="37"/>
      <c r="MM39" s="190"/>
      <c r="MN39" s="586">
        <f>IF(MN$16,IF(MO$16=0.5,MROUND(BasketballResultat[[#This Row],[Resultat]],MO$16),ROUND(BasketballResultat[[#This Row],[Resultat]],MO$16)),ROUNDDOWN(BasketballResultat[[#This Row],[Resultat]],MO$16))</f>
        <v>0</v>
      </c>
      <c r="MO39" s="191" t="str">
        <f>IF(OR(Geschlecht[[#This Row],[Geschlecht (Skala)]]="",ML$16=""),"",MID(Geschlecht[[#This Row],[Geschlecht (Skala)]],1,1)&amp;MID(ML$16,1,1))</f>
        <v/>
      </c>
      <c r="MP39" s="190" t="str">
        <f>IF(OR(MO39="",BasketballResultat[[#This Row],[Resultat]]=""),"",REPLACE(INDEX(StdDisziplinen[TabÜberschriftResultat],ML$3),FIND("X",INDEX(StdDisziplinen[TabÜberschriftResultat],ML$3),1),2,MO39))</f>
        <v/>
      </c>
      <c r="MQ39" s="31" t="str">
        <f ca="1">IF(MP39="","",IF(OR(BasketballResultat[[#This Row],[Resultat]]=Stammdaten!$AX$22,BasketballResultat[[#This Row],[Resultat]]=Stammdaten!$AX$19),Stammdaten!$AX$19,IF(ISNA(INDEX(INDIRECT(MP39),MATCH(BasketballGerundet[[#This Row],[Rundung]],INDIRECT(MP39),MP$18))),IF(MP$18=-1,LARGE(INDIRECT(MP39),1),SMALL(INDIRECT(MP39),1)),INDEX(INDIRECT(MP39),MATCH(BasketballGerundet[[#This Row],[Rundung]],INDIRECT(MP39),MP$18)))))</f>
        <v/>
      </c>
      <c r="MS39" s="18" t="str">
        <f ca="1">IF(BasketballSkalawert[[#This Row],[Skala-Wert]]="","",REPLACE(INDEX(StdDisziplinen[TabÜberschriftNote],ML$3),FIND("X",INDEX(StdDisziplinen[TabÜberschriftNote],ML$3),1),2,MO39))</f>
        <v/>
      </c>
      <c r="MT39" s="31" t="str">
        <f ca="1">IF(OR(MS39="",BasketballSkalawert[[#This Row],[Skala-Wert]]=Stammdaten!$AX$19),"",INDEX(INDIRECT(MS39),MATCH(BasketballSkalawert[[#This Row],[Skala-Wert]],INDIRECT(MP39),0)))</f>
        <v/>
      </c>
      <c r="MU39" s="31"/>
      <c r="MV39" s="37"/>
      <c r="MW39" s="190"/>
      <c r="MX39" s="586">
        <f>IF(MX$16,IF(MY$16=0.5,MROUND(FussballResultat[[#This Row],[Resultat]],MY$16),ROUND(FussballResultat[[#This Row],[Resultat]],MY$16)),ROUNDDOWN(FussballResultat[[#This Row],[Resultat]],MY$16))</f>
        <v>0</v>
      </c>
      <c r="MY39" s="191" t="str">
        <f>IF(OR(Geschlecht[[#This Row],[Geschlecht (Skala)]]="",MV$16=""),"",MID(Geschlecht[[#This Row],[Geschlecht (Skala)]],1,1)&amp;MID(MV$16,1,1))</f>
        <v/>
      </c>
      <c r="MZ39" s="190" t="str">
        <f>IF(OR(MY39="",FussballResultat[[#This Row],[Resultat]]=""),"",REPLACE(INDEX(StdDisziplinen[TabÜberschriftResultat],MV$3),FIND("X",INDEX(StdDisziplinen[TabÜberschriftResultat],MV$3),1),2,MY39))</f>
        <v/>
      </c>
      <c r="NA39" s="31" t="str">
        <f ca="1">IF(MZ39="","",IF(OR(FussballResultat[[#This Row],[Resultat]]=Stammdaten!$AX$22,FussballResultat[[#This Row],[Resultat]]=Stammdaten!$AX$19),Stammdaten!$AX$19,IF(ISNA(INDEX(INDIRECT(MZ39),MATCH(FussballGerundet[[#This Row],[Rundung]],INDIRECT(MZ39),MZ$18))),IF(MZ$18=-1,LARGE(INDIRECT(MZ39),1),SMALL(INDIRECT(MZ39),1)),INDEX(INDIRECT(MZ39),MATCH(FussballGerundet[[#This Row],[Rundung]],INDIRECT(MZ39),MZ$18)))))</f>
        <v/>
      </c>
      <c r="NC39" s="18" t="str">
        <f ca="1">IF(FussballSkalawert[[#This Row],[Skala-Wert]]="","",REPLACE(INDEX(StdDisziplinen[TabÜberschriftNote],MV$3),FIND("X",INDEX(StdDisziplinen[TabÜberschriftNote],MV$3),1),2,MY39))</f>
        <v/>
      </c>
      <c r="ND39" s="31" t="str">
        <f ca="1">IF(OR(NC39="",FussballSkalawert[[#This Row],[Skala-Wert]]=Stammdaten!$AX$19),"",INDEX(INDIRECT(NC39),MATCH(FussballSkalawert[[#This Row],[Skala-Wert]],INDIRECT(MZ39),0)))</f>
        <v/>
      </c>
      <c r="NE39" s="31"/>
      <c r="NF39" s="37"/>
      <c r="NG39" s="190"/>
      <c r="NH39" s="586">
        <f>IF(NH$16,IF(NI$16=0.5,MROUND(HandballResultat[[#This Row],[Resultat]],NI$16),ROUND(HandballResultat[[#This Row],[Resultat]],NI$16)),ROUNDDOWN(HandballResultat[[#This Row],[Resultat]],NI$16))</f>
        <v>0</v>
      </c>
      <c r="NI39" s="191" t="str">
        <f>IF(OR(Geschlecht[[#This Row],[Geschlecht (Skala)]]="",NF$16=""),"",MID(Geschlecht[[#This Row],[Geschlecht (Skala)]],1,1)&amp;MID(NF$16,1,1))</f>
        <v/>
      </c>
      <c r="NJ39" s="190" t="str">
        <f>IF(OR(NI39="",HandballResultat[[#This Row],[Resultat]]=""),"",REPLACE(INDEX(StdDisziplinen[TabÜberschriftResultat],NF$3),FIND("X",INDEX(StdDisziplinen[TabÜberschriftResultat],NF$3),1),2,NI39))</f>
        <v/>
      </c>
      <c r="NK39" s="31" t="str">
        <f ca="1">IF(NJ39="","",IF(OR(HandballResultat[[#This Row],[Resultat]]=Stammdaten!$AX$22,HandballResultat[[#This Row],[Resultat]]=Stammdaten!$AX$19),Stammdaten!$AX$19,IF(ISNA(INDEX(INDIRECT(NJ39),MATCH(HandballGerundet[[#This Row],[Rundung]],INDIRECT(NJ39),NJ$18))),IF(NJ$18=-1,LARGE(INDIRECT(NJ39),1),SMALL(INDIRECT(NJ39),1)),INDEX(INDIRECT(NJ39),MATCH(HandballGerundet[[#This Row],[Rundung]],INDIRECT(NJ39),NJ$18)))))</f>
        <v/>
      </c>
      <c r="NM39" s="18" t="str">
        <f ca="1">IF(HandballSkalawert[[#This Row],[Skala-Wert]]="","",REPLACE(INDEX(StdDisziplinen[TabÜberschriftNote],NF$3),FIND("X",INDEX(StdDisziplinen[TabÜberschriftNote],NF$3),1),2,NI39))</f>
        <v/>
      </c>
      <c r="NN39" s="31" t="str">
        <f ca="1">IF(OR(NM39="",HandballSkalawert[[#This Row],[Skala-Wert]]=Stammdaten!$AX$19),"",INDEX(INDIRECT(NM39),MATCH(HandballSkalawert[[#This Row],[Skala-Wert]],INDIRECT(NJ39),0)))</f>
        <v/>
      </c>
      <c r="NO39" s="31"/>
      <c r="NP39" s="37"/>
      <c r="NQ39" s="190"/>
      <c r="NR39" s="586">
        <f>IF(NR$16,IF(NS$16=0.5,MROUND(UnihockeyResultat[[#This Row],[Resultat]],NS$16),ROUND(UnihockeyResultat[[#This Row],[Resultat]],NS$16)),ROUNDDOWN(UnihockeyResultat[[#This Row],[Resultat]],NS$16))</f>
        <v>0</v>
      </c>
      <c r="NS39" s="191" t="str">
        <f>IF(OR(Geschlecht[[#This Row],[Geschlecht (Skala)]]="",NP$16=""),"",MID(Geschlecht[[#This Row],[Geschlecht (Skala)]],1,1)&amp;MID(NP$16,1,1))</f>
        <v/>
      </c>
      <c r="NT39" s="190" t="str">
        <f>IF(OR(NS39="",UnihockeyResultat[[#This Row],[Resultat]]=""),"",REPLACE(INDEX(StdDisziplinen[TabÜberschriftResultat],NP$3),FIND("X",INDEX(StdDisziplinen[TabÜberschriftResultat],NP$3),1),2,NS39))</f>
        <v/>
      </c>
      <c r="NU39" s="31" t="str">
        <f ca="1">IF(NT39="","",IF(OR(UnihockeyResultat[[#This Row],[Resultat]]=Stammdaten!$AX$22,UnihockeyResultat[[#This Row],[Resultat]]=Stammdaten!$AX$19),Stammdaten!$AX$19,IF(ISNA(INDEX(INDIRECT(NT39),MATCH(UnihockeyGerundet[[#This Row],[Rundung]],INDIRECT(NT39),NT$18))),IF(NT$18=-1,LARGE(INDIRECT(NT39),1),SMALL(INDIRECT(NT39),1)),INDEX(INDIRECT(NT39),MATCH(UnihockeyGerundet[[#This Row],[Rundung]],INDIRECT(NT39),NT$18)))))</f>
        <v/>
      </c>
      <c r="NW39" s="18" t="str">
        <f ca="1">IF(UnihockeySkalawert[[#This Row],[Skala-Wert]]="","",REPLACE(INDEX(StdDisziplinen[TabÜberschriftNote],NP$3),FIND("X",INDEX(StdDisziplinen[TabÜberschriftNote],NP$3),1),2,NS39))</f>
        <v/>
      </c>
      <c r="NX39" s="31" t="str">
        <f ca="1">IF(OR(NW39="",UnihockeySkalawert[[#This Row],[Skala-Wert]]=Stammdaten!$AX$19),"",INDEX(INDIRECT(NW39),MATCH(UnihockeySkalawert[[#This Row],[Skala-Wert]],INDIRECT(NT39),0)))</f>
        <v/>
      </c>
      <c r="NY39" s="31"/>
      <c r="NZ39" s="597"/>
      <c r="OA39" s="190"/>
      <c r="OB39" s="587">
        <f>IF(OB$16,IF(OC$16=0.5,MROUND(VolleyballResultat[[#This Row],[Resultat]],OC$16),ROUND(VolleyballResultat[[#This Row],[Resultat]],OC$16)),ROUNDDOWN(VolleyballResultat[[#This Row],[Resultat]],OC$16))</f>
        <v>0</v>
      </c>
      <c r="OC39" s="191" t="str">
        <f>IF(OR(Geschlecht[[#This Row],[Geschlecht (Skala)]]="",NZ$16=""),"",MID(Geschlecht[[#This Row],[Geschlecht (Skala)]],1,1)&amp;MID(NZ$16,1,1))</f>
        <v/>
      </c>
      <c r="OD39" s="190" t="str">
        <f>IF(OR(OC39="",VolleyballResultat[[#This Row],[Resultat]]=""),"",REPLACE(INDEX(StdDisziplinen[TabÜberschriftResultat],NZ$3),FIND("X",INDEX(StdDisziplinen[TabÜberschriftResultat],NZ$3),1),2,OC39))</f>
        <v/>
      </c>
      <c r="OE39" s="192" t="str">
        <f ca="1">IF(OD39="","",IF(OR(VolleyballResultat[[#This Row],[Resultat]]=Stammdaten!$AX$22,VolleyballResultat[[#This Row],[Resultat]]=Stammdaten!$AX$19),Stammdaten!$AX$19,IF(ISNA(INDEX(INDIRECT(OD39),MATCH(VolleyballGerundet[[#This Row],[Rundung]],INDIRECT(OD39),OD$18))),IF(OD$18=-1,LARGE(INDIRECT(OD39),1),SMALL(INDIRECT(OD39),1)),INDEX(INDIRECT(OD39),MATCH(VolleyballGerundet[[#This Row],[Rundung]],INDIRECT(OD39),OD$18)))))</f>
        <v/>
      </c>
      <c r="OG39" s="18" t="str">
        <f ca="1">IF(VolleyballSkalawert[[#This Row],[Skala-Wert]]="","",REPLACE(INDEX(StdDisziplinen[TabÜberschriftNote],NZ$3),FIND("X",INDEX(StdDisziplinen[TabÜberschriftNote],NZ$3),1),2,OC39))</f>
        <v/>
      </c>
      <c r="OH39" s="31" t="str">
        <f ca="1">IF(OR(OG39="",VolleyballSkalawert[[#This Row],[Skala-Wert]]=Stammdaten!$AX$19),"",INDEX(INDIRECT(OG39),MATCH(VolleyballSkalawert[[#This Row],[Skala-Wert]],INDIRECT(OD39),0)))</f>
        <v/>
      </c>
      <c r="OI39" s="45"/>
      <c r="OJ39" s="31">
        <f ca="1">IF(BasketballSkalawert[[#This Row],[Skala-Wert]]=$A$3,$A$2,IF(BasketballNote[[#This Row],[Note]]="",0,BasketballNote[[#This Row],[Note]]))</f>
        <v>0</v>
      </c>
      <c r="OK39" s="31">
        <f ca="1">IF(FussballSkalawert[[#This Row],[Skala-Wert]]=$A$3,$A$2,IF(FussballNote[[#This Row],[Note]]="",0,FussballNote[[#This Row],[Note]]))</f>
        <v>0</v>
      </c>
      <c r="OL39" s="31">
        <f ca="1">IF(HandballSkalawert[[#This Row],[Skala-Wert]]=$A$3,$A$2,IF(HandballNote[[#This Row],[Note]]="",0,HandballNote[[#This Row],[Note]]))</f>
        <v>0</v>
      </c>
      <c r="OM39" s="31">
        <f ca="1">IF(UnihockeySkalawert[[#This Row],[Skala-Wert]]=$A$3,$A$2,IF(UnihockeyNote[[#This Row],[Note]]="",0,UnihockeyNote[[#This Row],[Note]]))</f>
        <v>0</v>
      </c>
      <c r="ON39" s="31">
        <f ca="1">IF(VolleyballSkalawert[[#This Row],[Skala-Wert]]=$A$3,$A$2,IF(VolleyballNote[[#This Row],[Note]]="",0,VolleyballNote[[#This Row],[Note]]))</f>
        <v>0</v>
      </c>
      <c r="OO39" s="202">
        <f t="shared" ca="1" si="28"/>
        <v>0</v>
      </c>
      <c r="OP39" s="202">
        <f t="shared" ca="1" si="29"/>
        <v>0</v>
      </c>
      <c r="OQ39" s="202">
        <f t="shared" ca="1" si="143"/>
        <v>0</v>
      </c>
      <c r="OR39" s="96" t="str">
        <f t="shared" ca="1" si="144"/>
        <v>!</v>
      </c>
      <c r="OS39" s="96" t="str">
        <f t="shared" ca="1" si="30"/>
        <v>!</v>
      </c>
      <c r="OT39" s="96" t="str">
        <f t="shared" ca="1" si="31"/>
        <v>!</v>
      </c>
      <c r="OU39" s="96" t="str">
        <f ca="1">IF(NOT(OQ39),INDEX(StdFehler[StdFehler],4),IF(COUNTIF(OR39:OT39,$A$2)&gt;=$OQ$13,$A$3,ROUND(AVERAGE(OR39:OT39)/$RX$4,0)*$RX$4))</f>
        <v>Zu wenige Noten</v>
      </c>
      <c r="OV39" s="244" t="str">
        <f t="shared" ca="1" si="145"/>
        <v>nd</v>
      </c>
      <c r="OW39" s="244" t="str">
        <f t="shared" ca="1" si="146"/>
        <v>nd</v>
      </c>
      <c r="OX39" s="244" t="str">
        <f t="shared" ca="1" si="147"/>
        <v>nd</v>
      </c>
      <c r="OY39" s="244" t="str">
        <f t="shared" ca="1" si="148"/>
        <v>nd</v>
      </c>
      <c r="OZ39" s="244" t="str">
        <f t="shared" ca="1" si="149"/>
        <v>nd</v>
      </c>
      <c r="PA39" s="202" t="b">
        <f t="shared" ca="1" si="150"/>
        <v>0</v>
      </c>
      <c r="PB39" s="202">
        <f t="shared" ca="1" si="151"/>
        <v>1</v>
      </c>
      <c r="PC39" s="202">
        <f t="shared" ca="1" si="152"/>
        <v>0</v>
      </c>
      <c r="PD39" s="96" t="str">
        <f t="shared" ca="1" si="153"/>
        <v/>
      </c>
      <c r="PE39" s="96" t="str">
        <f t="shared" ca="1" si="154"/>
        <v/>
      </c>
      <c r="PF39" s="200">
        <f t="shared" ca="1" si="155"/>
        <v>0</v>
      </c>
      <c r="PG39" s="202" t="str">
        <f t="shared" ca="1" si="156"/>
        <v/>
      </c>
      <c r="PH39" s="200" t="str">
        <f t="shared" ca="1" si="157"/>
        <v/>
      </c>
      <c r="PI39" s="200" t="str">
        <f t="shared" ca="1" si="158"/>
        <v/>
      </c>
      <c r="PJ39" s="200" t="str">
        <f t="shared" ca="1" si="159"/>
        <v/>
      </c>
      <c r="PK39" s="242" t="str">
        <f t="shared" ca="1" si="160"/>
        <v/>
      </c>
      <c r="PL39" s="242" t="str">
        <f t="shared" ca="1" si="161"/>
        <v/>
      </c>
      <c r="PM39" s="242" t="str">
        <f t="shared" ca="1" si="162"/>
        <v/>
      </c>
      <c r="PN39" s="242" t="str">
        <f t="shared" ca="1" si="163"/>
        <v>Erste Spielsportart</v>
      </c>
      <c r="PO39" s="242" t="str">
        <f ca="1">IF(PN39=$PM$11,Stammdaten!$AY$27,IF(PR39=$A$2,TRIM(Stammdaten!$AX$25),""))</f>
        <v>nicht durchgeführt</v>
      </c>
      <c r="PP39" s="242" t="str">
        <f t="shared" ca="1" si="164"/>
        <v/>
      </c>
      <c r="PQ39" s="202" t="str">
        <f t="shared" ca="1" si="165"/>
        <v>Erste SpielsportartResultat[@Resultat]</v>
      </c>
      <c r="PR39" s="98" t="str">
        <f t="shared" ca="1" si="166"/>
        <v/>
      </c>
      <c r="PS39" s="202" t="str">
        <f t="shared" ca="1" si="167"/>
        <v/>
      </c>
      <c r="PT39" s="202" t="str">
        <f t="shared" ca="1" si="168"/>
        <v>Erste SpielsportartSkalawert[@[Skala-Wert]]</v>
      </c>
      <c r="PU39" s="98" t="str">
        <f t="shared" ca="1" si="169"/>
        <v/>
      </c>
      <c r="PV39" s="202" t="str">
        <f t="shared" ca="1" si="170"/>
        <v/>
      </c>
      <c r="PW39" s="202" t="str">
        <f t="shared" ca="1" si="171"/>
        <v/>
      </c>
      <c r="PX39" s="202" t="str">
        <f t="shared" ca="1" si="172"/>
        <v>StdDisziplinen[MaxTextSt]</v>
      </c>
      <c r="PY39" s="202" t="str">
        <f t="shared" ca="1" si="173"/>
        <v/>
      </c>
      <c r="PZ39" s="202" t="b">
        <f t="shared" ca="1" si="174"/>
        <v>0</v>
      </c>
      <c r="QA39" s="202" t="str">
        <f t="shared" ca="1" si="175"/>
        <v/>
      </c>
      <c r="QB39" s="202" t="str">
        <f t="shared" ca="1" si="32"/>
        <v/>
      </c>
      <c r="QC39" s="202" t="str">
        <f t="shared" ca="1" si="176"/>
        <v/>
      </c>
      <c r="QD39" s="202" t="str">
        <f t="shared" ca="1" si="177"/>
        <v/>
      </c>
      <c r="QE39" s="242" t="str">
        <f t="shared" ca="1" si="178"/>
        <v/>
      </c>
      <c r="QF39" s="242" t="str">
        <f t="shared" ca="1" si="179"/>
        <v/>
      </c>
      <c r="QG39" s="242" t="str">
        <f t="shared" ca="1" si="180"/>
        <v>Zweite Spielsportart</v>
      </c>
      <c r="QH39" s="242" t="str">
        <f ca="1">IF(QG39=$QF$11,Stammdaten!$AY$27,IF(QK39=$A$2,TRIM(Stammdaten!$AX$25),""))</f>
        <v>nicht durchgeführt</v>
      </c>
      <c r="QI39" s="242" t="str">
        <f t="shared" ca="1" si="181"/>
        <v/>
      </c>
      <c r="QJ39" s="202" t="str">
        <f t="shared" ca="1" si="182"/>
        <v>Zweite SpielsportartResultat[@Resultat]</v>
      </c>
      <c r="QK39" s="98" t="str">
        <f t="shared" ca="1" si="183"/>
        <v/>
      </c>
      <c r="QL39" s="202" t="str">
        <f t="shared" ca="1" si="184"/>
        <v/>
      </c>
      <c r="QM39" s="202" t="str">
        <f t="shared" ca="1" si="185"/>
        <v>Zweite SpielsportartSkalawert[@[Skala-Wert]]</v>
      </c>
      <c r="QN39" s="98" t="str">
        <f t="shared" ca="1" si="186"/>
        <v/>
      </c>
      <c r="QO39" s="202" t="str">
        <f t="shared" ca="1" si="187"/>
        <v/>
      </c>
      <c r="QP39" s="202" t="str">
        <f t="shared" ca="1" si="188"/>
        <v/>
      </c>
      <c r="QQ39" s="202" t="str">
        <f t="shared" ca="1" si="189"/>
        <v>StdDisziplinen[MaxTextSt]</v>
      </c>
      <c r="QR39" s="202" t="str">
        <f t="shared" ca="1" si="190"/>
        <v/>
      </c>
      <c r="QS39" s="202" t="b">
        <f t="shared" ca="1" si="191"/>
        <v>0</v>
      </c>
      <c r="QT39" s="242" t="str">
        <f t="shared" ca="1" si="33"/>
        <v>Dritte Spielsportart</v>
      </c>
      <c r="QU39" s="242" t="str">
        <f ca="1">IF(QT39=$QT$11,MID(Stammdaten!$AX$27,2,LEN(Stammdaten!$AX$27)),IF(QX39=$A$2,TRIM(Stammdaten!$AX$25),""))</f>
        <v>nicht durchgeführt</v>
      </c>
      <c r="QV39" s="242" t="str">
        <f t="shared" ca="1" si="34"/>
        <v/>
      </c>
      <c r="QW39" s="202" t="str">
        <f t="shared" ca="1" si="192"/>
        <v>Dritte SpielsportartResultat[@Resultat]</v>
      </c>
      <c r="QX39" s="98" t="str">
        <f t="shared" ca="1" si="193"/>
        <v/>
      </c>
      <c r="QY39" s="202" t="str">
        <f t="shared" ca="1" si="35"/>
        <v/>
      </c>
      <c r="QZ39" s="202" t="str">
        <f t="shared" ca="1" si="194"/>
        <v>Dritte SpielsportartSkalawert[@[Skala-Wert]]</v>
      </c>
      <c r="RA39" s="98" t="str">
        <f t="shared" ca="1" si="224"/>
        <v/>
      </c>
      <c r="RB39" s="202" t="str">
        <f t="shared" ca="1" si="36"/>
        <v/>
      </c>
      <c r="RC39" s="202" t="str">
        <f t="shared" ca="1" si="196"/>
        <v/>
      </c>
      <c r="RD39" s="202" t="str">
        <f t="shared" ca="1" si="197"/>
        <v>StdDisziplinen[MaxTextSt]</v>
      </c>
      <c r="RE39" s="202" t="str">
        <f t="shared" ca="1" si="37"/>
        <v/>
      </c>
      <c r="RF39" s="244">
        <f t="shared" ca="1" si="38"/>
        <v>99</v>
      </c>
      <c r="RG39" s="244">
        <f t="shared" ca="1" si="39"/>
        <v>99</v>
      </c>
      <c r="RH39" s="244">
        <f t="shared" ca="1" si="40"/>
        <v>99</v>
      </c>
      <c r="RI39" s="244">
        <f t="shared" ca="1" si="41"/>
        <v>99</v>
      </c>
      <c r="RJ39" s="244">
        <f t="shared" ca="1" si="42"/>
        <v>99</v>
      </c>
      <c r="RK39" s="244">
        <f t="shared" ca="1" si="198"/>
        <v>99</v>
      </c>
      <c r="RL39" s="244">
        <f t="shared" ca="1" si="199"/>
        <v>99</v>
      </c>
      <c r="RM39" s="244">
        <f t="shared" ca="1" si="200"/>
        <v>99</v>
      </c>
      <c r="RN39" s="244">
        <f t="shared" ca="1" si="201"/>
        <v>99</v>
      </c>
      <c r="RO39" s="244">
        <f t="shared" ca="1" si="202"/>
        <v>99</v>
      </c>
      <c r="RP39" s="202" t="str">
        <f t="shared" ca="1" si="43"/>
        <v>Zu wenige Noten</v>
      </c>
      <c r="RQ39" s="202" t="str">
        <f t="shared" ca="1" si="203"/>
        <v>Zu wenige Noten</v>
      </c>
      <c r="RR39" s="202" t="str">
        <f t="shared" ca="1" si="203"/>
        <v>Zu wenige Noten</v>
      </c>
      <c r="RS39" s="202" t="str">
        <f t="shared" ca="1" si="204"/>
        <v>Zu wenige Noten</v>
      </c>
      <c r="RT39" s="202" t="str">
        <f t="shared" ca="1" si="204"/>
        <v>Zu wenige Noten</v>
      </c>
      <c r="RU39" s="202" t="str">
        <f t="shared" ca="1" si="205"/>
        <v>Zu wenige Noten</v>
      </c>
      <c r="RV39" s="202" t="str">
        <f t="shared" ca="1" si="206"/>
        <v>Zu wenige Noten</v>
      </c>
      <c r="RW39" s="31"/>
      <c r="RX39" s="56" t="str">
        <f t="shared" ca="1" si="44"/>
        <v>Zu wenige Noten</v>
      </c>
      <c r="RY39" s="31"/>
      <c r="RZ39" s="31" t="str">
        <f t="shared" ca="1" si="45"/>
        <v>Zu wenige Noten</v>
      </c>
      <c r="SA39" s="31" t="str">
        <f t="shared" ca="1" si="46"/>
        <v>Zu wenige Noten</v>
      </c>
      <c r="SB39" s="45" t="str">
        <f t="shared" ca="1" si="47"/>
        <v>Zu wenige Noten</v>
      </c>
      <c r="SC39" s="31" t="str">
        <f t="shared" ca="1" si="207"/>
        <v>Zu wenige Noten</v>
      </c>
      <c r="SD39" s="31" t="str">
        <f t="shared" ca="1" si="208"/>
        <v>Zu wenige Noten</v>
      </c>
      <c r="SE39" s="31" t="str">
        <f t="shared" ca="1" si="225"/>
        <v>Zu wenige Noten</v>
      </c>
      <c r="SF39" s="31" t="str">
        <f t="shared" ca="1" si="209"/>
        <v>Zu wenige Noten</v>
      </c>
      <c r="SG39" s="31" t="str">
        <f t="shared" ca="1" si="226"/>
        <v>Zu wenige Noten</v>
      </c>
      <c r="SH39" s="36">
        <f t="shared" ca="1" si="210"/>
        <v>0</v>
      </c>
      <c r="SI39" s="36">
        <f t="shared" ca="1" si="211"/>
        <v>0</v>
      </c>
      <c r="SJ39" s="36">
        <f t="shared" ca="1" si="212"/>
        <v>0</v>
      </c>
      <c r="SK39" s="31">
        <f t="shared" ca="1" si="213"/>
        <v>99</v>
      </c>
      <c r="SL39" s="31">
        <f t="shared" ca="1" si="214"/>
        <v>99</v>
      </c>
      <c r="SM39" s="36" t="str">
        <f t="shared" ca="1" si="215"/>
        <v>99.0</v>
      </c>
      <c r="SN39" s="31">
        <f t="shared" ca="1" si="216"/>
        <v>99</v>
      </c>
      <c r="SO39" s="36" t="str">
        <f ca="1">IF(NOT(SJ39),INDEX(StdFehler[StdFehler],4),IF(SI39=$SJ$13,$A$3,CONCATENATE(TEXT(SK39,"#.0"),", ",TEXT(SL39,"#.0"),", ",SM39,", ",TEXT(SN39,"#.0"))))</f>
        <v>Zu wenige Noten</v>
      </c>
      <c r="SP39" s="36" t="str">
        <f t="shared" ca="1" si="49"/>
        <v>Zu wenige Noten</v>
      </c>
      <c r="SQ39" s="36" t="str">
        <f t="shared" ca="1" si="49"/>
        <v>Zu wenige Noten</v>
      </c>
      <c r="SR39" s="36" t="str">
        <f t="shared" ca="1" si="49"/>
        <v>Zu wenige Noten</v>
      </c>
      <c r="SS39" s="36" t="str">
        <f t="shared" ca="1" si="49"/>
        <v>Zu wenige Noten</v>
      </c>
      <c r="ST39" s="36" t="str">
        <f t="shared" ca="1" si="217"/>
        <v>Zu wenige Noten</v>
      </c>
      <c r="SU39" s="36"/>
      <c r="SV39" s="214" t="str">
        <f t="shared" si="218"/>
        <v>D</v>
      </c>
      <c r="SW39" s="36"/>
      <c r="SX39" s="214" t="str">
        <f t="shared" si="219"/>
        <v>D</v>
      </c>
      <c r="SY39" s="36"/>
      <c r="SZ39" s="214" t="str">
        <f t="shared" si="220"/>
        <v>D</v>
      </c>
      <c r="TA39" s="36"/>
      <c r="TB39" s="214" t="str">
        <f t="shared" si="221"/>
        <v>D</v>
      </c>
      <c r="TC39" s="31"/>
      <c r="TD39" s="36" t="str">
        <f t="shared" ca="1" si="222"/>
        <v>Zu wenige Noten</v>
      </c>
      <c r="TE39" s="31"/>
      <c r="TF39" s="193" t="str">
        <f ca="1">IF(NOT(SJ39),INDEX(StdFehler[StdFehler],4),IF(SI39=$TF$4,$A$3,ROUND(AVERAGE(RZ39:SC39)/$TF$5,0)*$TF$5))</f>
        <v>Zu wenige Noten</v>
      </c>
      <c r="TH39" s="595" t="str">
        <f>IF(OR($TH$18=Stammdaten!$AX$20,$TH$18=""),Stammdaten!$AX$20,$TH$18)</f>
        <v>Disziplin</v>
      </c>
      <c r="TI39" s="33"/>
      <c r="TJ39" s="33" t="str">
        <f>IF(OR(Geschlecht[[#This Row],[Geschlecht (Skala)]]="",TH39="",TH39=Stammdaten!$AX$20),"",REPLACE(INDEX(StdDisziplinen[TabÜberschriftResultat],TH$3),FIND("XX",INDEX(StdDisziplinen[TabÜberschriftResultat],TH$3),1),2,Geschlecht[[#This Row],[Geschlecht (Skala)]]))</f>
        <v/>
      </c>
      <c r="TK39" s="596"/>
      <c r="TM39" s="37"/>
      <c r="TN39" s="40"/>
      <c r="TO39" s="587">
        <f>IF(TO$16,IF(TP$16=0.5,MROUND(SchwimmenResultat[[#This Row],[Resultat]],TP$16),ROUND(SchwimmenResultat[[#This Row],[Resultat]],TP$16)),ROUNDDOWN(SchwimmenResultat[[#This Row],[Resultat]],TP$16))</f>
        <v>0</v>
      </c>
      <c r="TP39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39" s="153" t="str">
        <f ca="1">IF(TP39="","",IF(OR(SchwimmenResultat[[#This Row],[Resultat]]=Stammdaten!$AX$22,SchwimmenResultat[[#This Row],[Resultat]]=Stammdaten!$AX$19),Stammdaten!$AX$19,IF(ISNA(INDEX(INDIRECT(TP39),MATCH(SchwimmenGerundet[[#This Row],[Rundung]],INDIRECT(TP39),TP$18))),IF(TP$18=-1,LARGE(INDIRECT(TP39),1),SMALL(INDIRECT(TP39),1)),INDEX(INDIRECT(TP39),MATCH(SchwimmenGerundet[[#This Row],[Rundung]],INDIRECT(TP39),TP$18)))))</f>
        <v/>
      </c>
      <c r="TR39" s="33" t="str">
        <f>IF(OR(TP39="",SchwimmenResultat[[#This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39" s="33"/>
      <c r="TT39" s="36" t="str">
        <f ca="1">IF(OR(TR39="",SchwimmenSkalawert[[#This Row],[Skala-Wert]]=Stammdaten!$AX$19),"",INDEX(INDIRECT(TR39),MATCH(SchwimmenSkalawert[[#This Row],[Skala-Wert]],INDIRECT(TP39),0)))</f>
        <v/>
      </c>
      <c r="TU39" s="36"/>
      <c r="TV39" s="190" t="str">
        <f>IF(ZwölfMinLaufHalleResultat[[#This Row],[Resultat]]=0,"",ZwölfMinLaufHalleResultat[[#This Row],[Resultat]])</f>
        <v/>
      </c>
      <c r="TW39" s="190"/>
      <c r="TX39" s="31" t="str">
        <f ca="1">ZwölfMinLaufHalleSkalawert[[#This Row],[Skala-Wert]]</f>
        <v/>
      </c>
      <c r="TZ39" s="31" t="str">
        <f ca="1">ZwölfMinLaufHalleNote[[#This Row],[Note]]</f>
        <v/>
      </c>
      <c r="UA39" s="31"/>
      <c r="UB39" s="190" t="str">
        <f>IF(ZwölfMinLaufimFreienResultat[[#This Row],[Resultat]]=0,"",ZwölfMinLaufimFreienResultat[[#This Row],[Resultat]])</f>
        <v/>
      </c>
      <c r="UC39" s="190"/>
      <c r="UD39" s="192" t="str">
        <f ca="1">ZwölfMinLaufimFreienSkalawert[[#This Row],[Skala-Wert]]</f>
        <v/>
      </c>
      <c r="UF39" s="31" t="str">
        <f ca="1">ZwölfMinLaufimFreienNote[[#This Row],[Note]]</f>
        <v/>
      </c>
      <c r="UG39" s="31"/>
      <c r="UH39" s="597"/>
      <c r="UI39" s="190"/>
      <c r="UJ39" s="587">
        <f>IF(UJ$16,IF(UK$16=0.5,MROUND(BeweglichkeitResultat[[#This Row],[Resultat]],UK$16),ROUND(BeweglichkeitResultat[[#This Row],[Resultat]],UK$16)),ROUNDDOWN(BeweglichkeitResultat[[#This Row],[Resultat]],UK$16))</f>
        <v>0</v>
      </c>
      <c r="UK39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39" s="192" t="str">
        <f ca="1">IF(UK39="","",IF(OR(BeweglichkeitResultat[[#This Row],[Resultat]]=Stammdaten!$AX$22,BeweglichkeitResultat[[#This Row],[Resultat]]=Stammdaten!$AX$19),Stammdaten!$AX$19,IF(ISNA(INDEX(INDIRECT(UK39),MATCH(BeweglichkeitGerundet[[#This Row],[Rundung]],INDIRECT(UK39),UK$18))),IF(UK$18=-1,LARGE(INDIRECT(UK39),1),SMALL(INDIRECT(UK39),1)),INDEX(INDIRECT(UK39),MATCH(BeweglichkeitGerundet[[#This Row],[Rundung]],INDIRECT(UK39),UK$18)))))</f>
        <v/>
      </c>
      <c r="UN39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39" s="36" t="str">
        <f ca="1">IF(OR(UK39="",BeweglichkeitSkalawert[[#This Row],[Skala-Wert]]=Stammdaten!$AX$19),"",INDEX(INDIRECT(UN39),MATCH(BeweglichkeitSkalawert[[#This Row],[Skala-Wert]],INDIRECT(UK39),0)))</f>
        <v/>
      </c>
      <c r="UP39" s="31"/>
      <c r="UQ39" s="597"/>
      <c r="UR39" s="190"/>
      <c r="US39" s="587">
        <f>IF(US$16,IF(UT$16=0.5,MROUND(RumpfkraftResultat[[#This Row],[Resultat]],UT$16),ROUND(RumpfkraftResultat[[#This Row],[Resultat]],UT$16)),ROUNDDOWN(RumpfkraftResultat[[#This Row],[Resultat]],UT$16))</f>
        <v>0</v>
      </c>
      <c r="UT39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39" s="192" t="str">
        <f ca="1">IF(UT39="","",IF(OR(RumpfkraftResultat[[#This Row],[Resultat]]=Stammdaten!$AX$22,RumpfkraftResultat[[#This Row],[Resultat]]=Stammdaten!$AX$19),Stammdaten!$AX$19,IF(ISNA(INDEX(INDIRECT(UT39),MATCH(RumpfkraftGerundet[[#This Row],[Rundung]],INDIRECT(UT39),UT$18))),IF(UT$18=-1,LARGE(INDIRECT(UT39),1),SMALL(INDIRECT(UT39),1)),INDEX(INDIRECT(UT39),MATCH(RumpfkraftGerundet[[#This Row],[Rundung]],INDIRECT(UT39),UT$18)))))</f>
        <v/>
      </c>
      <c r="UW39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39" s="36" t="str">
        <f ca="1">IF(OR(UT39="",RumpfkraftSkalawert[[#This Row],[Skala-Wert]]=Stammdaten!$AX$19),"",INDEX(INDIRECT(UW39),MATCH(RumpfkraftSkalawert[[#This Row],[Skala-Wert]],INDIRECT(UT39),0)))</f>
        <v/>
      </c>
      <c r="UY39" s="31"/>
      <c r="UZ39" s="190" t="str">
        <f>IF(SechzigmLaufResultat[[#This Row],[Resultat]]=0,"",SechzigmLaufResultat[[#This Row],[Resultat]])</f>
        <v/>
      </c>
      <c r="VA39" s="190"/>
      <c r="VB39" s="45" t="str">
        <f ca="1">SechzigmLaufSkalawert[[#This Row],[Skala-Wert]]</f>
        <v/>
      </c>
      <c r="VD39" s="31" t="str">
        <f ca="1">SechzigmLaufNote[[#This Row],[Note]]</f>
        <v/>
      </c>
      <c r="VE39" s="31"/>
      <c r="VF39" s="190" t="str">
        <f>IF(AchtzigmLaufResultat[[#This Row],[Resultat]]=0,"",AchtzigmLaufResultat[[#This Row],[Resultat]])</f>
        <v/>
      </c>
      <c r="VG39" s="190"/>
      <c r="VH39" s="45" t="str">
        <f ca="1">AchtzigmLaufSkalawert[[#This Row],[Skala-Wert]]</f>
        <v/>
      </c>
      <c r="VJ39" s="31" t="str">
        <f ca="1">AchtzigmLaufNote[[#This Row],[Note]]</f>
        <v/>
      </c>
      <c r="VK39" s="31"/>
      <c r="VL39" s="37"/>
      <c r="VM39" s="190"/>
      <c r="VN39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39" s="191" t="str">
        <f>IF(OR(Geschlecht[[#This Row],[Geschlecht (Skala)]]="",VL$16=""),"",MID(Geschlecht[[#This Row],[Geschlecht (Skala)]],1,1)&amp;MID(VL$16,1,1))</f>
        <v/>
      </c>
      <c r="VP39" s="190" t="str">
        <f>IF(OR(VO39="",KonditionsparcoursResultat[[#This Row],[Resultat]]=""),"",REPLACE(INDEX(StdDisziplinen[TabÜberschriftResultat],VL$3),FIND("X",INDEX(StdDisziplinen[TabÜberschriftResultat],VL$3),1),2,VO39))</f>
        <v/>
      </c>
      <c r="VQ39" s="192" t="str">
        <f ca="1">IF(VP39="","",IF(OR(KonditionsparcoursResultat[[#This Row],[Resultat]]=Stammdaten!$AX$22,KonditionsparcoursResultat[[#This Row],[Resultat]]=Stammdaten!$AX$19),Stammdaten!$AX$19,IF(ISNA(INDEX(INDIRECT(VP39),MATCH(KonditionsparcoursGerundet[[#This Row],[Rundung]],INDIRECT(VP39),VP$18))),IF(VP$18=-1,LARGE(INDIRECT(VP39),1),SMALL(INDIRECT(VP39),1)),INDEX(INDIRECT(VP39),MATCH(KonditionsparcoursGerundet[[#This Row],[Rundung]],INDIRECT(VP39),VP$18)))))</f>
        <v/>
      </c>
      <c r="VS39" s="18" t="str">
        <f ca="1">IF(KonditionsparcoursSkalawert[[#This Row],[Skala-Wert]]="","",REPLACE(INDEX(StdDisziplinen[TabÜberschriftNote],VL$3),FIND("X",INDEX(StdDisziplinen[TabÜberschriftNote],VL$3),1),2,VO39))</f>
        <v/>
      </c>
      <c r="VT39" s="31" t="str">
        <f ca="1">IF(OR(VS39="",KonditionsparcoursSkalawert[[#This Row],[Skala-Wert]]=Stammdaten!$AX$19),"",INDEX(INDIRECT(VS39),MATCH(KonditionsparcoursSkalawert[[#This Row],[Skala-Wert]],INDIRECT(VP39),0)))</f>
        <v/>
      </c>
      <c r="VU39" s="22"/>
    </row>
    <row r="40" spans="1:593" x14ac:dyDescent="0.3">
      <c r="A40" s="30">
        <v>22</v>
      </c>
      <c r="B40" s="589"/>
      <c r="C40" s="589"/>
      <c r="E40" s="591"/>
      <c r="G40" s="37"/>
      <c r="H40" s="190"/>
      <c r="I40" s="154">
        <f>IF(I$16,IF(J$16=0.5,MROUND(SechzigmLaufResultat[[#This Row],[Resultat]],J$16),ROUND(SechzigmLaufResultat[[#This Row],[Resultat]],J$16)),ROUNDDOWN(SechzigmLaufResultat[[#This Row],[Resultat]],J$16))</f>
        <v>0</v>
      </c>
      <c r="J40" s="191" t="str">
        <f>IF(OR(Geschlecht[[#This Row],[Geschlecht (Skala)]]="",G$16=""),"",MID(Geschlecht[[#This Row],[Geschlecht (Skala)]],1,1)&amp;MID(G$16,1,1))</f>
        <v/>
      </c>
      <c r="K40" s="190" t="str">
        <f>IF(OR(J40="",SechzigmLaufResultat[[#This Row],[Resultat]]=""),"",REPLACE(INDEX(StdDisziplinen[TabÜberschriftResultat],G$3),FIND("X",INDEX(StdDisziplinen[TabÜberschriftResultat],G$3),1),2,J40))</f>
        <v/>
      </c>
      <c r="L40" s="45" t="str">
        <f ca="1">IF(K40="","",IF(OR(SechzigmLaufResultat[[#This Row],[Resultat]]=Stammdaten!$AX$22,SechzigmLaufResultat[[#This Row],[Resultat]]=Stammdaten!$AX$19),Stammdaten!$AX$19,IF(ISNA(INDEX(INDIRECT(K40),MATCH(SechzigmLaufGerundet[[#This Row],[Rundung]],INDIRECT(K40),K$18))),IF(K$18=-1,LARGE(INDIRECT(K40),1),SMALL(INDIRECT(K40),1)),INDEX(INDIRECT(K40),MATCH(SechzigmLaufGerundet[[#This Row],[Rundung]],INDIRECT(K40),K$18)))))</f>
        <v/>
      </c>
      <c r="N40" s="18" t="str">
        <f ca="1">IF(SechzigmLaufSkalawert[[#This Row],[Skala-Wert]]="","",REPLACE(INDEX(StdDisziplinen[TabÜberschriftNote],G$3),FIND("X",INDEX(StdDisziplinen[TabÜberschriftNote],G$3),1),2,J40))</f>
        <v/>
      </c>
      <c r="O40" s="31" t="str">
        <f ca="1">IF(OR(N40="",SechzigmLaufSkalawert[[#This Row],[Skala-Wert]]=Stammdaten!$AX$19),"",INDEX(INDIRECT(N40),MATCH(SechzigmLaufSkalawert[[#This Row],[Skala-Wert]],INDIRECT(K40),0)))</f>
        <v/>
      </c>
      <c r="P40" s="31"/>
      <c r="Q40" s="37"/>
      <c r="R40" s="190"/>
      <c r="S40" s="154">
        <f>IF(S$16,IF(T$16=0.5,MROUND(AchtzigmLaufResultat[[#This Row],[Resultat]],T$16),ROUND(AchtzigmLaufResultat[[#This Row],[Resultat]],T$16)),ROUNDDOWN(AchtzigmLaufResultat[[#This Row],[Resultat]],T$16))</f>
        <v>0</v>
      </c>
      <c r="T40" s="191" t="str">
        <f>IF(OR(Geschlecht[[#This Row],[Geschlecht (Skala)]]="",Q$16=""),"",MID(Geschlecht[[#This Row],[Geschlecht (Skala)]],1,1)&amp;MID(Q$16,1,1))</f>
        <v/>
      </c>
      <c r="U40" s="190" t="str">
        <f>IF(OR(T40="",AchtzigmLaufResultat[[#This Row],[Resultat]]=""),"",REPLACE(INDEX(StdDisziplinen[TabÜberschriftResultat],Q$3),FIND("X",INDEX(StdDisziplinen[TabÜberschriftResultat],Q$3),1),2,T40))</f>
        <v/>
      </c>
      <c r="V40" s="45" t="str">
        <f ca="1">IF(U40="","",IF(OR(AchtzigmLaufResultat[[#This Row],[Resultat]]=Stammdaten!$AX$22,AchtzigmLaufResultat[[#This Row],[Resultat]]=Stammdaten!$AX$19),Stammdaten!$AX$19,IF(ISNA(INDEX(INDIRECT(U40),MATCH(AchtzigmLaufGerundet[[#This Row],[Rundung]],INDIRECT(U40),U$18))),IF(U$18=-1,LARGE(INDIRECT(U40),1),SMALL(INDIRECT(U40),1)),INDEX(INDIRECT(U40),MATCH(AchtzigmLaufGerundet[[#This Row],[Rundung]],INDIRECT(U40),U$18)))))</f>
        <v/>
      </c>
      <c r="X40" s="18" t="str">
        <f ca="1">IF(AchtzigmLaufSkalawert[[#This Row],[Skala-Wert]]="","",REPLACE(INDEX(StdDisziplinen[TabÜberschriftNote],Q$3),FIND("X",INDEX(StdDisziplinen[TabÜberschriftNote],Q$3),1),2,T40))</f>
        <v/>
      </c>
      <c r="Y40" s="31" t="str">
        <f ca="1">IF(OR(X40="",AchtzigmLaufSkalawert[[#This Row],[Skala-Wert]]=Stammdaten!$AX$19),"",INDEX(INDIRECT(X40),MATCH(AchtzigmLaufSkalawert[[#This Row],[Skala-Wert]],INDIRECT(U40),0)))</f>
        <v/>
      </c>
      <c r="Z40" s="31"/>
      <c r="AA40" s="37"/>
      <c r="AB40" s="190"/>
      <c r="AC40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0" s="191" t="str">
        <f>IF(OR(Geschlecht[[#This Row],[Geschlecht (Skala)]]="",AA$16=""),"",MID(Geschlecht[[#This Row],[Geschlecht (Skala)]],1,1)&amp;MID(AA$16,1,1))</f>
        <v/>
      </c>
      <c r="AE40" s="190" t="str">
        <f>IF(OR(AD40="",ZwölfMinLaufHalleResultat[[#This Row],[Resultat]]=""),"",REPLACE(INDEX(StdDisziplinen[TabÜberschriftResultat],AA$3),FIND("X",INDEX(StdDisziplinen[TabÜberschriftResultat],AA$3),1),2,AD40))</f>
        <v/>
      </c>
      <c r="AF40" s="31" t="str">
        <f ca="1">IF(AE40="","",IF(OR(ZwölfMinLaufHalleResultat[[#This Row],[Resultat]]=Stammdaten!$AX$22,ZwölfMinLaufHalleResultat[[#This Row],[Resultat]]=Stammdaten!$AX$19),Stammdaten!$AX$19,IF(ISNA(INDEX(INDIRECT(AE40),MATCH(ZwölfMinLaufHalleGerundet[[#This Row],[Rundung]],INDIRECT(AE40),AE$18))),IF(AE$18=-1,LARGE(INDIRECT(AE40),1),SMALL(INDIRECT(AE40),1)),INDEX(INDIRECT(AE40),MATCH(ZwölfMinLaufHalleGerundet[[#This Row],[Rundung]],INDIRECT(AE40),AE$18)))))</f>
        <v/>
      </c>
      <c r="AH40" s="18" t="str">
        <f ca="1">IF(ZwölfMinLaufHalleSkalawert[[#This Row],[Skala-Wert]]="","",REPLACE(INDEX(StdDisziplinen[TabÜberschriftNote],AA$3),FIND("X",INDEX(StdDisziplinen[TabÜberschriftNote],AA$3),1),2,AD40))</f>
        <v/>
      </c>
      <c r="AI40" s="31" t="str">
        <f ca="1">IF(OR(AH40="",ZwölfMinLaufHalleSkalawert[[#This Row],[Skala-Wert]]=Stammdaten!$AX$19),"",INDEX(INDIRECT(AH40),MATCH(ZwölfMinLaufHalleSkalawert[[#This Row],[Skala-Wert]],INDIRECT(AE40),0)))</f>
        <v/>
      </c>
      <c r="AJ40" s="31"/>
      <c r="AK40" s="597"/>
      <c r="AL40" s="190"/>
      <c r="AM40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0" s="191" t="str">
        <f>IF(OR(Geschlecht[[#This Row],[Geschlecht (Skala)]]="",AK$16=""),"",MID(Geschlecht[[#This Row],[Geschlecht (Skala)]],1,1)&amp;MID(AK$16,1,1))</f>
        <v/>
      </c>
      <c r="AO40" s="190" t="str">
        <f>IF(OR(AN40="",ZwölfMinLaufimFreienResultat[[#This Row],[Resultat]]=""),"",REPLACE(INDEX(StdDisziplinen[TabÜberschriftResultat],AK$3),FIND("X",INDEX(StdDisziplinen[TabÜberschriftResultat],AK$3),1),2,AN40))</f>
        <v/>
      </c>
      <c r="AP40" s="192" t="str">
        <f ca="1">IF(AO40="","",IF(OR(ZwölfMinLaufimFreienResultat[[#This Row],[Resultat]]=Stammdaten!$AX$22,ZwölfMinLaufimFreienResultat[[#This Row],[Resultat]]=Stammdaten!$AX$19),Stammdaten!$AX$19,IF(ISNA(INDEX(INDIRECT(AO40),MATCH(ZwölfMinLaufimFreienGerundet[[#This Row],[Rundung]],INDIRECT(AO40),AO$18))),IF(AO$18=-1,LARGE(INDIRECT(AO40),1),SMALL(INDIRECT(AO40),1)),INDEX(INDIRECT(AO40),MATCH(ZwölfMinLaufimFreienGerundet[[#This Row],[Rundung]],INDIRECT(AO40),AO$18)))))</f>
        <v/>
      </c>
      <c r="AR40" s="18" t="str">
        <f ca="1">IF(ZwölfMinLaufimFreienSkalawert[[#This Row],[Skala-Wert]]="","",REPLACE(INDEX(StdDisziplinen[TabÜberschriftNote],AK$3),FIND("X",INDEX(StdDisziplinen[TabÜberschriftNote],AK$3),1),2,AN40))</f>
        <v/>
      </c>
      <c r="AS40" s="31" t="str">
        <f ca="1">IF(OR(AR40="",ZwölfMinLaufimFreienSkalawert[[#This Row],[Skala-Wert]]=Stammdaten!$AX$19),"",INDEX(INDIRECT(AR40),MATCH(ZwölfMinLaufimFreienSkalawert[[#This Row],[Skala-Wert]],INDIRECT(AO40),0)))</f>
        <v/>
      </c>
      <c r="AT40" s="31"/>
      <c r="AU40" s="597"/>
      <c r="AV40" s="190"/>
      <c r="AW40" s="587">
        <f>IF(AW$16,IF(AX$16=0.5,MROUND(HochsprungResultat[[#This Row],[Resultat]],AX$16),ROUND(HochsprungResultat[[#This Row],[Resultat]],AX$16)),ROUNDDOWN(HochsprungResultat[[#This Row],[Resultat]],AX$16))</f>
        <v>0</v>
      </c>
      <c r="AX40" s="191" t="str">
        <f>IF(OR(Geschlecht[[#This Row],[Geschlecht (Skala)]]="",AU$16=""),"",MID(Geschlecht[[#This Row],[Geschlecht (Skala)]],1,1)&amp;MID(AU$16,1,1))</f>
        <v/>
      </c>
      <c r="AY40" s="190" t="str">
        <f>IF(OR(AX40="",HochsprungResultat[[#This Row],[Resultat]]=""),"",REPLACE(INDEX(StdDisziplinen[TabÜberschriftResultat],AU$3),FIND("X",INDEX(StdDisziplinen[TabÜberschriftResultat],AU$3),1),2,AX40))</f>
        <v/>
      </c>
      <c r="AZ40" s="192" t="str">
        <f ca="1">IF(AY40="","",IF(OR(HochsprungResultat[[#This Row],[Resultat]]=Stammdaten!$AX$22,HochsprungResultat[[#This Row],[Resultat]]=Stammdaten!$AX$19),Stammdaten!$AX$19,IF(ISNA(INDEX(INDIRECT(AY40),MATCH(HochsprungGerundet[[#This Row],[Rundung]],INDIRECT(AY40),AY$18))),IF(AY$18=-1,LARGE(INDIRECT(AY40),1),SMALL(INDIRECT(AY40),1)),INDEX(INDIRECT(AY40),MATCH(HochsprungGerundet[[#This Row],[Rundung]],INDIRECT(AY40),AY$18)))))</f>
        <v/>
      </c>
      <c r="BB40" s="18" t="str">
        <f ca="1">IF(HochsprungSkalawert[[#This Row],[Skala-Wert]]="","",REPLACE(INDEX(StdDisziplinen[TabÜberschriftNote],AU$3),FIND("X",INDEX(StdDisziplinen[TabÜberschriftNote],AU$3),1),2,AX40))</f>
        <v/>
      </c>
      <c r="BC40" s="31" t="str">
        <f ca="1">IF(OR(BB40="",HochsprungSkalawert[[#This Row],[Skala-Wert]]=Stammdaten!$AX$19),"",INDEX(INDIRECT(BB40),MATCH(HochsprungSkalawert[[#This Row],[Skala-Wert]],INDIRECT(AY40),0)))</f>
        <v/>
      </c>
      <c r="BD40" s="31"/>
      <c r="BE40" s="597"/>
      <c r="BF40" s="190"/>
      <c r="BG40" s="587">
        <f>IF(BG$16,IF(BH$16=0.5,MROUND(WeitsprungResultat[[#This Row],[Resultat]],BH$16),ROUND(WeitsprungResultat[[#This Row],[Resultat]],BH$16)),ROUNDDOWN(WeitsprungResultat[[#This Row],[Resultat]],BH$16))</f>
        <v>0</v>
      </c>
      <c r="BH40" s="191" t="str">
        <f>IF(OR(Geschlecht[[#This Row],[Geschlecht (Skala)]]="",BE$16=""),"",MID(Geschlecht[[#This Row],[Geschlecht (Skala)]],1,1)&amp;MID(BE$16,1,1))</f>
        <v/>
      </c>
      <c r="BI40" s="190" t="str">
        <f>IF(OR(BH40="",WeitsprungResultat[[#This Row],[Resultat]]=""),"",REPLACE(INDEX(StdDisziplinen[TabÜberschriftResultat],BE$3),FIND("X",INDEX(StdDisziplinen[TabÜberschriftResultat],BE$3),1),2,BH40))</f>
        <v/>
      </c>
      <c r="BJ40" s="192" t="str">
        <f ca="1">IF(BI40="","",IF(OR(WeitsprungResultat[[#This Row],[Resultat]]=Stammdaten!$AX$22,WeitsprungResultat[[#This Row],[Resultat]]=Stammdaten!$AX$19),Stammdaten!$AX$19,IF(ISNA(INDEX(INDIRECT(BI40),MATCH(WeitsprungGerundet[[#This Row],[Rundung]],INDIRECT(BI40),BI$18))),IF(BI$18=-1,LARGE(INDIRECT(BI40),1),SMALL(INDIRECT(BI40),1)),INDEX(INDIRECT(BI40),MATCH(WeitsprungGerundet[[#This Row],[Rundung]],INDIRECT(BI40),BI$18)))))</f>
        <v/>
      </c>
      <c r="BL40" s="18" t="str">
        <f ca="1">IF(WeitsprungSkalawert[[#This Row],[Skala-Wert]]="","",REPLACE(INDEX(StdDisziplinen[TabÜberschriftNote],BE$3),FIND("X",INDEX(StdDisziplinen[TabÜberschriftNote],BE$3),1),2,BH40))</f>
        <v/>
      </c>
      <c r="BM40" s="31" t="str">
        <f ca="1">IF(OR(BL40="",WeitsprungSkalawert[[#This Row],[Skala-Wert]]=Stammdaten!$AX$19),"",INDEX(INDIRECT(BL40),MATCH(WeitsprungSkalawert[[#This Row],[Skala-Wert]],INDIRECT(BI40),0)))</f>
        <v/>
      </c>
      <c r="BN40" s="31"/>
      <c r="BO40" s="37"/>
      <c r="BP40" s="190"/>
      <c r="BQ40" s="154">
        <f>IF(BQ$16,IF(BR$16=0.5,MROUND(BallwurfResultat[[#This Row],[Resultat]],BR$16),ROUND(BallwurfResultat[[#This Row],[Resultat]],BR$16)),ROUNDDOWN(BallwurfResultat[[#This Row],[Resultat]],BR$16))</f>
        <v>0</v>
      </c>
      <c r="BR40" s="191" t="str">
        <f>IF(OR(Geschlecht[[#This Row],[Geschlecht (Skala)]]="",BO$16=""),"",MID(Geschlecht[[#This Row],[Geschlecht (Skala)]],1,1)&amp;MID(BO$16,1,1))</f>
        <v/>
      </c>
      <c r="BS40" s="190" t="str">
        <f>IF(OR(BR40="",BallwurfResultat[[#This Row],[Resultat]]=""),"",REPLACE(INDEX(StdDisziplinen[TabÜberschriftResultat],BO$3),FIND("X",INDEX(StdDisziplinen[TabÜberschriftResultat],BO$3),1),2,BR40))</f>
        <v/>
      </c>
      <c r="BT40" s="45" t="str">
        <f ca="1">IF(BS40="","",IF(OR(BallwurfResultat[[#This Row],[Resultat]]=Stammdaten!$AX$22,BallwurfResultat[[#This Row],[Resultat]]=Stammdaten!$AX$19),Stammdaten!$AX$19,IF(ISNA(INDEX(INDIRECT(BS40),MATCH(BallwurfGerundet[[#This Row],[Rundung]],INDIRECT(BS40),BS$18))),IF(BS$18=-1,LARGE(INDIRECT(BS40),1),SMALL(INDIRECT(BS40),1)),INDEX(INDIRECT(BS40),MATCH(BallwurfGerundet[[#This Row],[Rundung]],INDIRECT(BS40),BS$18)))))</f>
        <v/>
      </c>
      <c r="BV40" s="18" t="str">
        <f ca="1">IF(BallwurfSkalawert[[#This Row],[Skala-Wert]]="","",REPLACE(INDEX(StdDisziplinen[TabÜberschriftNote],BO$3),FIND("X",INDEX(StdDisziplinen[TabÜberschriftNote],BO$3),1),2,BR40))</f>
        <v/>
      </c>
      <c r="BW40" s="31" t="str">
        <f ca="1">IF(OR(BV40="",BallwurfSkalawert[[#This Row],[Skala-Wert]]=Stammdaten!$AX$19),"",INDEX(INDIRECT(BV40),MATCH(BallwurfSkalawert[[#This Row],[Skala-Wert]],INDIRECT(BS40),0)))</f>
        <v/>
      </c>
      <c r="BX40" s="31"/>
      <c r="BY40" s="598"/>
      <c r="BZ40" s="190"/>
      <c r="CA40" s="154">
        <f>IF(CA$16,IF(CB$16=0.5,MROUND(KugelstossenResultat[[#This Row],[Resultat]],CB$16),ROUND(KugelstossenResultat[[#This Row],[Resultat]],CB$16)),ROUNDDOWN(KugelstossenResultat[[#This Row],[Resultat]],CB$16))</f>
        <v>0</v>
      </c>
      <c r="CB40" s="191" t="str">
        <f>IF(OR(Geschlecht[[#This Row],[Geschlecht (Skala)]]="",BY$16=""),"",MID(Geschlecht[[#This Row],[Geschlecht (Skala)]],1,1)&amp;MID(BY$16,1,1))</f>
        <v/>
      </c>
      <c r="CC40" s="190" t="str">
        <f>IF(OR(CB40="",KugelstossenResultat[[#This Row],[Resultat]]=""),"",REPLACE(INDEX(StdDisziplinen[TabÜberschriftResultat],BY$3),FIND("X",INDEX(StdDisziplinen[TabÜberschriftResultat],BY$3),1),2,CB40))</f>
        <v/>
      </c>
      <c r="CD40" s="194" t="str">
        <f ca="1">IF(CC40="","",IF(OR(KugelstossenResultat[[#This Row],[Resultat]]=Stammdaten!$AX$22,KugelstossenResultat[[#This Row],[Resultat]]=Stammdaten!$AX$19),Stammdaten!$AX$19,IF(ISNA(INDEX(INDIRECT(CC40),MATCH(KugelstossenGerundet[[#This Row],[Rundung]],INDIRECT(CC40),CC$18))),IF(CC$18=-1,LARGE(INDIRECT(CC40),1),SMALL(INDIRECT(CC40),1)),INDEX(INDIRECT(CC40),MATCH(KugelstossenGerundet[[#This Row],[Rundung]],INDIRECT(CC40),CC$18)))))</f>
        <v/>
      </c>
      <c r="CF40" s="18" t="str">
        <f ca="1">IF(KugelstossenSkalawert[[#This Row],[Skala-Wert]]="","",REPLACE(INDEX(StdDisziplinen[TabÜberschriftNote],BY$3),FIND("X",INDEX(StdDisziplinen[TabÜberschriftNote],BY$3),1),2,CB40))</f>
        <v/>
      </c>
      <c r="CG40" s="162" t="str">
        <f ca="1">IF(OR(CF40="",KugelstossenSkalawert[[#This Row],[Skala-Wert]]=Stammdaten!$AX$19),"",INDEX(INDIRECT(CF40),MATCH(KugelstossenSkalawert[[#This Row],[Skala-Wert]],INDIRECT(CC40),0)))</f>
        <v/>
      </c>
      <c r="CH40" s="31"/>
      <c r="CI40" s="37"/>
      <c r="CJ40" s="190"/>
      <c r="CK40" s="154">
        <f>IF(CK$16,IF(CL$16=0.5,MROUND(SpeerwurfResultat[[#This Row],[Resultat]],CL$16),ROUND(SpeerwurfResultat[[#This Row],[Resultat]],CL$16)),ROUNDDOWN(SpeerwurfResultat[[#This Row],[Resultat]],CL$16))</f>
        <v>0</v>
      </c>
      <c r="CL40" s="191" t="str">
        <f>IF(OR(Geschlecht[[#This Row],[Geschlecht (Skala)]]="",CI$16=""),"",MID(Geschlecht[[#This Row],[Geschlecht (Skala)]],1,1)&amp;MID(CI$16,1,1))</f>
        <v/>
      </c>
      <c r="CM40" s="190" t="str">
        <f>IF(OR(CL40="",SpeerwurfResultat[[#This Row],[Resultat]]=""),"",REPLACE(INDEX(StdDisziplinen[TabÜberschriftResultat],CI$3),FIND("X",INDEX(StdDisziplinen[TabÜberschriftResultat],CI$3),1),2,CL40))</f>
        <v/>
      </c>
      <c r="CN40" s="45" t="str">
        <f ca="1">IF(CM40="","",IF(OR(SpeerwurfResultat[[#This Row],[Resultat]]=Stammdaten!$AX$22,SpeerwurfResultat[[#This Row],[Resultat]]=Stammdaten!$AX$19),Stammdaten!$AX$19,IF(ISNA(INDEX(INDIRECT(CM40),MATCH(SpeerwurfGerundet[[#This Row],[Rundung]],INDIRECT(CM40),CM$18))),IF(CM$18=-1,LARGE(INDIRECT(CM40),1),SMALL(INDIRECT(CM40),1)),INDEX(INDIRECT(CM40),MATCH(SpeerwurfGerundet[[#This Row],[Rundung]],INDIRECT(CM40),CM$18)))))</f>
        <v/>
      </c>
      <c r="CP40" s="18" t="str">
        <f ca="1">IF(SpeerwurfSkalawert[[#This Row],[Skala-Wert]]="","",REPLACE(INDEX(StdDisziplinen[TabÜberschriftNote],CI$3),FIND("X",INDEX(StdDisziplinen[TabÜberschriftNote],CI$3),1),2,CL40))</f>
        <v/>
      </c>
      <c r="CQ40" s="31" t="str">
        <f ca="1">IF(OR(CP40="",SpeerwurfSkalawert[[#This Row],[Skala-Wert]]=Stammdaten!$AX$19),"",INDEX(INDIRECT(CP40),MATCH(SpeerwurfSkalawert[[#This Row],[Skala-Wert]],INDIRECT(CM40),0)))</f>
        <v/>
      </c>
      <c r="CR40" s="31"/>
      <c r="CS40" s="31" t="str">
        <f t="shared" ca="1" si="50"/>
        <v/>
      </c>
      <c r="CT40" s="31" t="str">
        <f t="shared" ca="1" si="50"/>
        <v/>
      </c>
      <c r="CU40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Row],[Skala-Wert]])&gt;0,MAX(CS40:CT40),99))</f>
        <v>Keine Note</v>
      </c>
      <c r="CV40" s="202" t="str">
        <f t="shared" ca="1" si="51"/>
        <v/>
      </c>
      <c r="CW40" s="202" t="str">
        <f ca="1">IF(CV40=$A$2,CS$10&amp;Stammdaten!$AX$25,IF(CU40=INDEX(StdFehler[],3),CS$10&amp;Stammdaten!$AX$27,INDEX(INDIRECT($B$4),MATCH(CV40,INDIRECT($B$5),0))))</f>
        <v>Sprintdisziplinen nicht durchgeführt</v>
      </c>
      <c r="CX40" s="202" t="str">
        <f ca="1">IFERROR(INDEX(INDIRECT(CX$12),MATCH(CV40,StdDisziplinen[ID],0)),"")</f>
        <v/>
      </c>
      <c r="CY40" s="202" t="e">
        <f t="shared" ca="1" si="52"/>
        <v>#N/A</v>
      </c>
      <c r="CZ40" s="202" t="e">
        <f t="shared" ca="1" si="53"/>
        <v>#N/A</v>
      </c>
      <c r="DA40" s="98" t="str">
        <f t="shared" ca="1" si="223"/>
        <v/>
      </c>
      <c r="DB40" s="202" t="e">
        <f t="shared" ca="1" si="54"/>
        <v>#N/A</v>
      </c>
      <c r="DC40" s="202" t="str">
        <f t="shared" ca="1" si="55"/>
        <v/>
      </c>
      <c r="DD40" s="31" t="str">
        <f t="shared" ca="1" si="56"/>
        <v/>
      </c>
      <c r="DE40" s="31" t="str">
        <f t="shared" ca="1" si="56"/>
        <v/>
      </c>
      <c r="DF40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Row],[Skala-Wert]])&gt;0,MAX(DD40:DE40),99))</f>
        <v>Keine Note</v>
      </c>
      <c r="DG40" s="202" t="str">
        <f t="shared" ca="1" si="57"/>
        <v/>
      </c>
      <c r="DH40" s="202" t="str">
        <f ca="1">IF(DG40=$A$2,DD$10&amp;Stammdaten!$AX$25,IF(DF40=INDEX(StdFehler[],3),DD$10&amp;Stammdaten!$AX$27,INDEX(INDIRECT($B$4),MATCH(DG40,INDIRECT($B$5),0))))</f>
        <v>Ausdauerdisziplinen nicht durchgeführt</v>
      </c>
      <c r="DI40" s="202" t="str">
        <f ca="1">IFERROR(INDEX(INDIRECT(DI$12),MATCH(DG40,StdDisziplinen[ID],0)),"")</f>
        <v/>
      </c>
      <c r="DJ40" s="202" t="e">
        <f t="shared" ca="1" si="58"/>
        <v>#N/A</v>
      </c>
      <c r="DK40" s="202" t="e">
        <f t="shared" ca="1" si="59"/>
        <v>#N/A</v>
      </c>
      <c r="DL40" s="96" t="str">
        <f t="shared" ca="1" si="60"/>
        <v/>
      </c>
      <c r="DM40" s="202" t="e">
        <f t="shared" ca="1" si="61"/>
        <v>#N/A</v>
      </c>
      <c r="DN40" s="202" t="str">
        <f t="shared" ca="1" si="62"/>
        <v/>
      </c>
      <c r="DO40" s="31" t="str">
        <f t="shared" ca="1" si="63"/>
        <v/>
      </c>
      <c r="DP40" s="31" t="str">
        <f t="shared" ca="1" si="63"/>
        <v/>
      </c>
      <c r="DQ40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Row],[Skala-Wert]])&gt;0,MAX(DO40:DP40),99))</f>
        <v>Keine Note</v>
      </c>
      <c r="DR40" s="202" t="str">
        <f t="shared" ca="1" si="64"/>
        <v/>
      </c>
      <c r="DS40" s="202" t="str">
        <f ca="1">IF(DR40=$A$2,DO$10&amp;Stammdaten!$AX$25,IF(DQ40=INDEX(StdFehler[],3),DO$10&amp;Stammdaten!$AX$27,INDEX(INDIRECT($B$4),MATCH(DR40,INDIRECT($B$5),0))))</f>
        <v>Sprungdisziplinen nicht durchgeführt</v>
      </c>
      <c r="DT40" s="202" t="str">
        <f ca="1">IFERROR(INDEX(INDIRECT(DT$12),MATCH(DR40,StdDisziplinen[ID],0)),"")</f>
        <v/>
      </c>
      <c r="DU40" s="202" t="e">
        <f t="shared" ca="1" si="65"/>
        <v>#N/A</v>
      </c>
      <c r="DV40" s="202" t="e">
        <f t="shared" ca="1" si="66"/>
        <v>#N/A</v>
      </c>
      <c r="DW40" s="202" t="str">
        <f t="shared" ca="1" si="67"/>
        <v/>
      </c>
      <c r="DX40" s="202" t="e">
        <f t="shared" ca="1" si="68"/>
        <v>#N/A</v>
      </c>
      <c r="DY40" s="202" t="str">
        <f t="shared" ca="1" si="69"/>
        <v/>
      </c>
      <c r="DZ40" s="31" t="str">
        <f ca="1">IF(BallwurfSkalawert[[#This Row],[Skala-Wert]]=$A$3,$A$2,IF(ISNUMBER(BallwurfSkalawert[[#This Row],[Skala-Wert]]),BallwurfNote[[#This Row],[Note]],"!"))</f>
        <v>!</v>
      </c>
      <c r="EA40" s="31" t="str">
        <f ca="1">IF(KugelstossenSkalawert[[#This Row],[Skala-Wert]]=$A$3,$A$2,IF(ISNUMBER(KugelstossenSkalawert[[#This Row],[Skala-Wert]]),KugelstossenNote[[#This Row],[Note]],"!"))</f>
        <v>!</v>
      </c>
      <c r="EB40" s="31" t="str">
        <f ca="1">IF(SpeerwurfSkalawert[[#This Row],[Skala-Wert]]=$A$3,$A$2,IF(ISNUMBER(SpeerwurfSkalawert[[#This Row],[Skala-Wert]]),SpeerwurfNote[[#This Row],[Note]],"!"))</f>
        <v>!</v>
      </c>
      <c r="EC40" s="95" t="str">
        <f ca="1">IF(ED40&gt;0,MAX(DZ40:EB40),IF(EE40&gt;0,99,INDEX(StdFehler[StdFehler],3)))</f>
        <v>Keine Note</v>
      </c>
      <c r="ED40" s="202">
        <f t="shared" ca="1" si="70"/>
        <v>0</v>
      </c>
      <c r="EE40" s="202">
        <f t="shared" ca="1" si="71"/>
        <v>0</v>
      </c>
      <c r="EF40" s="202" t="str">
        <f t="shared" ca="1" si="72"/>
        <v/>
      </c>
      <c r="EG40" s="202" t="str">
        <f ca="1">IF(EF40=$A$2,DZ$10&amp;Stammdaten!$AX$25,IF(EC40=INDEX(StdFehler[],3),DZ$10&amp;Stammdaten!$AX$27,INDEX(INDIRECT($B$4),MATCH(EF40,INDIRECT($B$5),0))))</f>
        <v>Wurfdisziplinen nicht durchgeführt</v>
      </c>
      <c r="EH40" s="202" t="str">
        <f ca="1">IFERROR(INDEX(INDIRECT(EH$12),MATCH(EF40,StdDisziplinen[ID],0)),"")</f>
        <v/>
      </c>
      <c r="EI40" s="202" t="e">
        <f t="shared" ca="1" si="73"/>
        <v>#N/A</v>
      </c>
      <c r="EJ40" s="202" t="e">
        <f t="shared" ca="1" si="74"/>
        <v>#N/A</v>
      </c>
      <c r="EK40" s="98" t="str">
        <f t="shared" ca="1" si="75"/>
        <v/>
      </c>
      <c r="EL40" s="202" t="e">
        <f t="shared" ca="1" si="76"/>
        <v>#N/A</v>
      </c>
      <c r="EM40" s="202" t="str">
        <f t="shared" ca="1" si="77"/>
        <v/>
      </c>
      <c r="EN40" s="200">
        <f t="shared" ca="1" si="1"/>
        <v>0</v>
      </c>
      <c r="EO40" s="202">
        <f t="shared" ca="1" si="78"/>
        <v>0</v>
      </c>
      <c r="EP40" s="96">
        <f t="shared" ca="1" si="2"/>
        <v>0</v>
      </c>
      <c r="EQ40" s="96">
        <f t="shared" ca="1" si="3"/>
        <v>0</v>
      </c>
      <c r="ER40" s="96">
        <f t="shared" ca="1" si="4"/>
        <v>0</v>
      </c>
      <c r="ES40" s="96">
        <f t="shared" ca="1" si="5"/>
        <v>0</v>
      </c>
      <c r="ET40" s="202">
        <f t="shared" ca="1" si="79"/>
        <v>0</v>
      </c>
      <c r="EU40" s="202" t="str">
        <f ca="1">IF($EO40=$FA$4,Stammdaten!$AX$19,IF(COUNTIF($EP40:$ES40,0)&lt;&gt;0,INDEX(StdFehler[StdFehler],4),ROUND(SUM($ET40/$EN40)/$FC$4,0)*$FC$4))</f>
        <v>Zu wenige Noten</v>
      </c>
      <c r="EV40" s="202" t="str">
        <f t="shared" ca="1" si="6"/>
        <v>Zu wenige Noten</v>
      </c>
      <c r="EW40" s="202" t="str">
        <f t="shared" ca="1" si="80"/>
        <v>Zu wenige Noten</v>
      </c>
      <c r="EX40" s="202" t="str">
        <f t="shared" ca="1" si="80"/>
        <v>Zu wenige Noten</v>
      </c>
      <c r="EY40" s="202" t="str">
        <f t="shared" ca="1" si="80"/>
        <v>Zu wenige Noten</v>
      </c>
      <c r="EZ40" s="202" t="str">
        <f t="shared" ca="1" si="81"/>
        <v>Zu wenige Noten</v>
      </c>
      <c r="FA40" s="202" t="str">
        <f t="shared" ca="1" si="82"/>
        <v>Zu wenige Noten</v>
      </c>
      <c r="FB40" s="31"/>
      <c r="FC40" s="56" t="str">
        <f t="shared" ca="1" si="83"/>
        <v>Zu wenige Noten</v>
      </c>
      <c r="FD40" s="31"/>
      <c r="FE40" s="597"/>
      <c r="FF40" s="190"/>
      <c r="FJ40" s="31"/>
      <c r="FK40" s="597"/>
      <c r="FL40" s="190"/>
      <c r="FP40" s="31"/>
      <c r="FQ40" s="597"/>
      <c r="FR40" s="190"/>
      <c r="FV40" s="31"/>
      <c r="FW40" s="597"/>
      <c r="FX40" s="190"/>
      <c r="GB40" s="31"/>
      <c r="GC40" s="597"/>
      <c r="GD40" s="190"/>
      <c r="GF40" s="154"/>
      <c r="GH40" s="31"/>
      <c r="GI40" s="597"/>
      <c r="GJ40" s="190"/>
      <c r="GN40" s="45"/>
      <c r="GO40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0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0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0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0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0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0" s="202">
        <f t="shared" si="7"/>
        <v>0</v>
      </c>
      <c r="GV40" s="202">
        <f t="shared" si="8"/>
        <v>0</v>
      </c>
      <c r="GW40" s="202">
        <f t="shared" si="84"/>
        <v>0</v>
      </c>
      <c r="GX40" s="200" t="str">
        <f t="shared" si="85"/>
        <v>!</v>
      </c>
      <c r="GY40" s="200" t="str">
        <f t="shared" si="9"/>
        <v>!</v>
      </c>
      <c r="GZ40" s="200" t="str">
        <f t="shared" si="10"/>
        <v>!</v>
      </c>
      <c r="HA40" s="244" t="str">
        <f t="shared" si="86"/>
        <v>nd</v>
      </c>
      <c r="HB40" s="244" t="str">
        <f t="shared" si="87"/>
        <v>nd</v>
      </c>
      <c r="HC40" s="244" t="str">
        <f t="shared" si="88"/>
        <v>nd</v>
      </c>
      <c r="HD40" s="244" t="str">
        <f t="shared" si="89"/>
        <v>nd</v>
      </c>
      <c r="HE40" s="244" t="str">
        <f t="shared" si="90"/>
        <v>nd</v>
      </c>
      <c r="HF40" s="244" t="str">
        <f t="shared" si="91"/>
        <v>nd</v>
      </c>
      <c r="HG40" s="202" t="b">
        <f t="shared" si="92"/>
        <v>0</v>
      </c>
      <c r="HH40" s="202">
        <f t="shared" si="93"/>
        <v>1</v>
      </c>
      <c r="HI40" s="202">
        <f t="shared" si="94"/>
        <v>0</v>
      </c>
      <c r="HJ40" s="200" t="str">
        <f t="shared" si="95"/>
        <v/>
      </c>
      <c r="HK40" s="200" t="str">
        <f t="shared" si="96"/>
        <v/>
      </c>
      <c r="HL40" s="200">
        <f t="shared" si="97"/>
        <v>0</v>
      </c>
      <c r="HM40" s="202" t="str">
        <f t="shared" si="98"/>
        <v/>
      </c>
      <c r="HN40" s="200" t="str">
        <f t="shared" si="99"/>
        <v/>
      </c>
      <c r="HO40" s="200" t="str">
        <f t="shared" si="100"/>
        <v/>
      </c>
      <c r="HP40" s="200" t="str">
        <f t="shared" si="101"/>
        <v/>
      </c>
      <c r="HQ40" s="242" t="str">
        <f t="shared" si="102"/>
        <v/>
      </c>
      <c r="HR40" s="242" t="str">
        <f t="shared" si="103"/>
        <v/>
      </c>
      <c r="HS40" s="242" t="str">
        <f t="shared" si="104"/>
        <v/>
      </c>
      <c r="HT40" s="242" t="str">
        <f t="shared" ca="1" si="105"/>
        <v>Erstes Gerät</v>
      </c>
      <c r="HU40" s="242" t="str">
        <f ca="1">IF(HT40=$HS$12,Stammdaten!$AY$27,IF(HW40=$A$2,TRIM(Stammdaten!$AX$25),""))</f>
        <v>nicht durchgeführt</v>
      </c>
      <c r="HV40" s="242" t="str">
        <f t="shared" ca="1" si="106"/>
        <v/>
      </c>
      <c r="HW40" s="277" t="str">
        <f t="shared" si="11"/>
        <v/>
      </c>
      <c r="HX40" s="202" t="str">
        <f t="shared" si="107"/>
        <v/>
      </c>
      <c r="HY40" s="202" t="str">
        <f t="shared" ca="1" si="108"/>
        <v/>
      </c>
      <c r="HZ40" s="202" t="str">
        <f t="shared" ca="1" si="109"/>
        <v>StdDisziplinen[MaxTextSt]</v>
      </c>
      <c r="IA40" s="202" t="str">
        <f t="shared" ca="1" si="12"/>
        <v/>
      </c>
      <c r="IB40" s="202" t="b">
        <f t="shared" si="110"/>
        <v>0</v>
      </c>
      <c r="IC40" s="202" t="str">
        <f t="shared" si="111"/>
        <v/>
      </c>
      <c r="ID40" s="202" t="str">
        <f t="shared" si="112"/>
        <v/>
      </c>
      <c r="IE40" s="202" t="str">
        <f t="shared" si="113"/>
        <v/>
      </c>
      <c r="IF40" s="202" t="str">
        <f t="shared" si="114"/>
        <v/>
      </c>
      <c r="IG40" s="242" t="str">
        <f t="shared" si="115"/>
        <v/>
      </c>
      <c r="IH40" s="242" t="str">
        <f t="shared" si="116"/>
        <v/>
      </c>
      <c r="II40" s="242" t="str">
        <f t="shared" ca="1" si="13"/>
        <v>Zweites Gerät</v>
      </c>
      <c r="IJ40" s="242" t="str">
        <f ca="1">IF(II40=$IH$12,Stammdaten!$AY$27,IF(IL40=$A$2,TRIM(Stammdaten!$AX$25),""))</f>
        <v>nicht durchgeführt</v>
      </c>
      <c r="IK40" s="242" t="str">
        <f t="shared" ca="1" si="117"/>
        <v/>
      </c>
      <c r="IL40" s="200" t="str">
        <f t="shared" si="14"/>
        <v/>
      </c>
      <c r="IM40" s="202" t="str">
        <f t="shared" si="118"/>
        <v/>
      </c>
      <c r="IN40" s="202" t="str">
        <f t="shared" ca="1" si="119"/>
        <v/>
      </c>
      <c r="IO40" s="202" t="str">
        <f t="shared" ca="1" si="120"/>
        <v>StdDisziplinen[MaxTextSt]</v>
      </c>
      <c r="IP40" s="202" t="str">
        <f t="shared" ca="1" si="121"/>
        <v/>
      </c>
      <c r="IQ40" s="202" t="b">
        <f t="shared" si="122"/>
        <v>0</v>
      </c>
      <c r="IR40" s="242" t="str">
        <f t="shared" ca="1" si="15"/>
        <v>Drittes Gerät</v>
      </c>
      <c r="IS40" s="242" t="str">
        <f ca="1">IF(IR40=$IR$12,MID(Stammdaten!$AX$27,2,LEN(Stammdaten!$AX$27)),IF(IU40=$A$2,TRIM(Stammdaten!$AX$25),""))</f>
        <v>nicht durchgeführt</v>
      </c>
      <c r="IT40" s="242" t="str">
        <f t="shared" ca="1" si="16"/>
        <v/>
      </c>
      <c r="IU40" s="200" t="str">
        <f t="shared" si="17"/>
        <v/>
      </c>
      <c r="IV40" s="202" t="str">
        <f t="shared" si="123"/>
        <v/>
      </c>
      <c r="IW40" s="202" t="str">
        <f t="shared" ca="1" si="124"/>
        <v/>
      </c>
      <c r="IX40" s="202" t="str">
        <f t="shared" ca="1" si="125"/>
        <v>StdDisziplinen[MaxTextSt]</v>
      </c>
      <c r="IY40" s="202" t="str">
        <f t="shared" ca="1" si="18"/>
        <v/>
      </c>
      <c r="IZ40" s="200" t="str">
        <f>IF(NOT(GW40),INDEX(StdFehler[StdFehler],4),IF(COUNTIF(GX40:GZ40,$A$2)&gt;=$IZ$4,$A$3,SUM(GX40:GZ40)))</f>
        <v>Zu wenige Noten</v>
      </c>
      <c r="JA40" s="31"/>
      <c r="JB40" s="587" t="e">
        <f t="shared" si="19"/>
        <v>#VALUE!</v>
      </c>
      <c r="JC40" s="191" t="str">
        <f>IF(OR(Geschlecht[[#This Row],[Geschlecht (Skala)]]="",IZ40=""),"",MID(Geschlecht[[#This Row],[Geschlecht (Skala)]],1,1)&amp;MID($FE$16,1,1))</f>
        <v/>
      </c>
      <c r="JD40" s="190" t="str">
        <f>IF(OR(JC40="",IZ40=""),"",REPLACE(INDEX(StdDisziplinen[TabÜberschriftResultat],$FE$3),FIND("X",INDEX(StdDisziplinen[TabÜberschriftResultat],$FE$3),1),2,JC40))</f>
        <v/>
      </c>
      <c r="JE40" s="192" t="str">
        <f ca="1">IF(OR(JD40="",IZ40=Stammdaten!$AZ$5),"",IF(OR(IZ40=Stammdaten!$AX$22,IZ40=Stammdaten!$AX$19),Stammdaten!$AX$19,IF(ISNA(INDEX(INDIRECT(JD40),MATCH(GeräteturnenGerundet[[#This Row],[Rundung]],INDIRECT(JD40),$JD$16))),IF($JD$16=-1,LARGE(INDIRECT(JD40),1),SMALL(INDIRECT(JD40),1)),INDEX(INDIRECT(JD40),MATCH(GeräteturnenGerundet[[#This Row],[Rundung]],INDIRECT(JD40),$JD$16)))))</f>
        <v/>
      </c>
      <c r="JG40" s="18" t="str">
        <f ca="1">IF(GeräteturnenSkalawert[[#This Row],[Skala-Wert]]="","",REPLACE(INDEX(StdDisziplinen[TabÜberschriftNote],$FE$3),FIND("X",INDEX(StdDisziplinen[TabÜberschriftNote],$FE$3),1),2,JC40))</f>
        <v/>
      </c>
      <c r="JH40" s="45" t="str">
        <f ca="1">IF(OR(JG40="",GeräteturnenSkalawert[[#This Row],[Skala-Wert]]=Stammdaten!$AX$19),"",INDEX(INDIRECT(JG40),MATCH(GeräteturnenSkalawert[[#This Row],[Skala-Wert]],INDIRECT(JD40),0)))</f>
        <v/>
      </c>
      <c r="JI40" s="31"/>
      <c r="JJ40" s="597"/>
      <c r="JK40" s="190"/>
      <c r="JL40" s="587">
        <f>IF(JL$16,IF(JM$16=0.5,MROUND(ParkourResultat[[#This Row],[Resultat]],JM$16),ROUND(ParkourResultat[[#This Row],[Resultat]],JM$16)),ROUNDDOWN(ParkourResultat[[#This Row],[Resultat]],JM$16))</f>
        <v>0</v>
      </c>
      <c r="JM40" s="191" t="str">
        <f>IF(OR(Geschlecht[[#This Row],[Geschlecht (Skala)]]="",JJ$16=""),"",MID(Geschlecht[[#This Row],[Geschlecht (Skala)]],1,1)&amp;MID(JJ$16,1,1))</f>
        <v/>
      </c>
      <c r="JN40" s="190" t="str">
        <f>IF(OR(JM40="",ParkourResultat[[#This Row],[Resultat]]=""),"",REPLACE(INDEX(StdDisziplinen[TabÜberschriftResultat],JJ$3),FIND("X",INDEX(StdDisziplinen[TabÜberschriftResultat],JJ$3),1),2,JM40))</f>
        <v/>
      </c>
      <c r="JO40" s="192" t="str">
        <f ca="1">IF(JN40="","",IF(OR(ParkourResultat[[#This Row],[Resultat]]=Stammdaten!$AX$22,ParkourResultat[[#This Row],[Resultat]]=Stammdaten!$AX$19),Stammdaten!$AX$19,IF(ISNA(INDEX(INDIRECT(JN40),MATCH(ParkourGerundet[[#This Row],[Rundung]],INDIRECT(JN40),JN$18))),IF(JN$18=-1,LARGE(INDIRECT(JN40),1),SMALL(INDIRECT(JN40),1)),INDEX(INDIRECT(JN40),MATCH(ParkourGerundet[[#This Row],[Rundung]],INDIRECT(JN40),JN$18)))))</f>
        <v/>
      </c>
      <c r="JQ40" s="18" t="str">
        <f ca="1">IF(ParkourSkalawert[[#This Row],[Skala-Wert]]="","",REPLACE(INDEX(StdDisziplinen[TabÜberschriftNote],JJ$3),FIND("X",INDEX(StdDisziplinen[TabÜberschriftNote],JJ$3),1),2,JM40))</f>
        <v/>
      </c>
      <c r="JR40" s="31" t="str">
        <f ca="1">IF(OR(JQ40="",ParkourSkalawert[[#This Row],[Skala-Wert]]=Stammdaten!$AX$19),"",INDEX(INDIRECT(JQ40),MATCH(ParkourSkalawert[[#This Row],[Skala-Wert]],INDIRECT(JN40),0)))</f>
        <v/>
      </c>
      <c r="JS40" s="96"/>
      <c r="JT40" s="47" t="str">
        <f ca="1">IF(OR(ISNUMBER(ParkourSkalawert[[#This Row],[Skala-Wert]]),ParkourSkalawert[[#This Row],[Skala-Wert]]=$A$3),INDEX(INDIRECT($JU$1),MATCH($JJ$3,INDIRECT($B$5),0)),"")</f>
        <v/>
      </c>
      <c r="JU40" s="200" t="str">
        <f t="shared" ca="1" si="126"/>
        <v>StdDisziplinen[MaxTextSt]</v>
      </c>
      <c r="JV40" s="200" t="str">
        <f t="shared" ca="1" si="127"/>
        <v/>
      </c>
      <c r="JW40" s="98">
        <f ca="1">IF(GeräteturnenSkalawert[[#This Row],[Skala-Wert]]=$A$3,$A$2,IF(GeräteturnenNote[[#This Row],[Note]]="",0,GeräteturnenNote[[#This Row],[Note]]))</f>
        <v>0</v>
      </c>
      <c r="JX40" s="96">
        <f ca="1">IF(ParkourSkalawert[[#This Row],[Skala-Wert]]=$A$3,$A$2,IF(ParkourNote[[#This Row],[Note]]="",0,ParkourNote[[#This Row],[Note]]))</f>
        <v>0</v>
      </c>
      <c r="JY40" s="200">
        <f t="shared" ca="1" si="128"/>
        <v>0</v>
      </c>
      <c r="JZ40" s="200">
        <f t="shared" ca="1" si="129"/>
        <v>0</v>
      </c>
      <c r="KA40" s="202">
        <f t="shared" ca="1" si="130"/>
        <v>0</v>
      </c>
      <c r="KB40" s="98" t="str">
        <f t="shared" ca="1" si="20"/>
        <v>!</v>
      </c>
      <c r="KC40" s="98" t="str">
        <f t="shared" ca="1" si="21"/>
        <v>!</v>
      </c>
      <c r="KD40" s="202" t="str">
        <f ca="1">IF(NOT(KA40),INDEX(StdFehler[StdFehler],4),IF(JZ40=$KA$12,$A$3,IF(JW40=$A$2,JX40,IF(JX40=$A$2,JW40,CONCATENATE(JW40,", ",JX40)))))</f>
        <v>Zu wenige Noten</v>
      </c>
      <c r="KE40" s="202" t="str">
        <f t="shared" ca="1" si="131"/>
        <v>Zu wenige Noten</v>
      </c>
      <c r="KF40" s="31"/>
      <c r="KG40" s="56" t="str">
        <f ca="1">IF(NOT(KA40),INDEX(StdFehler[StdFehler],4),IF(JZ40=$KA$12,$A$3,ROUND(AVERAGE(KB40:KC40)/$KG$4,0)*$KG$4))</f>
        <v>Zu wenige Noten</v>
      </c>
      <c r="KH40" s="31"/>
      <c r="KI40" s="599"/>
      <c r="KJ40" s="190"/>
      <c r="KK40" s="586">
        <f>IF(KK$16,IF(KL$16=0.5,MROUND(TanzenResultat[[#This Row],[Resultat]],KL$16),ROUND(TanzenResultat[[#This Row],[Resultat]],KL$16)),ROUNDDOWN(TanzenResultat[[#This Row],[Resultat]],KL$16))</f>
        <v>0</v>
      </c>
      <c r="KL40" s="191" t="str">
        <f>IF(OR(Geschlecht[[#This Row],[Geschlecht (Skala)]]="",KI$16=""),"",MID(Geschlecht[[#This Row],[Geschlecht (Skala)]],1,1)&amp;MID(KI$16,1,1))</f>
        <v/>
      </c>
      <c r="KM40" s="190" t="str">
        <f>IF(OR(KL40="",TanzenResultat[[#This Row],[Resultat]]=""),"",REPLACE(INDEX(StdDisziplinen[TabÜberschriftResultat],KI$3),FIND("X",INDEX(StdDisziplinen[TabÜberschriftResultat],KI$3),1),2,KL40))</f>
        <v/>
      </c>
      <c r="KN40" s="31" t="str">
        <f ca="1">IF(KM40="","",IF(OR(TanzenResultat[[#This Row],[Resultat]]=Stammdaten!$AX$22,TanzenResultat[[#This Row],[Resultat]]=Stammdaten!$AX$19),Stammdaten!$AX$19,IF(ISNA(INDEX(INDIRECT(KM40),MATCH(TanzenGerundet[[#This Row],[Rundung]],INDIRECT(KM40),KM$18))),IF(KM$18=-1,LARGE(INDIRECT(KM40),1),SMALL(INDIRECT(KM40),1)),INDEX(INDIRECT(KM40),MATCH(TanzenGerundet[[#This Row],[Rundung]],INDIRECT(KM40),KM$18)))))</f>
        <v/>
      </c>
      <c r="KP40" s="18" t="str">
        <f ca="1">IF(TanzenSkalawert[[#This Row],[Skala-Wert]]="","",REPLACE(INDEX(StdDisziplinen[TabÜberschriftNote],KI$3),FIND("X",INDEX(StdDisziplinen[TabÜberschriftNote],KI$3),1),2,KL40))</f>
        <v/>
      </c>
      <c r="KQ40" s="45" t="str">
        <f ca="1">IF(OR(KP40="",TanzenSkalawert[[#This Row],[Skala-Wert]]=Stammdaten!$AX$19),"",INDEX(INDIRECT(KP40),MATCH(TanzenSkalawert[[#This Row],[Skala-Wert]],INDIRECT(KM40),0)))</f>
        <v/>
      </c>
      <c r="KR40" s="31"/>
      <c r="KS40" s="597"/>
      <c r="KT40" s="190"/>
      <c r="KU40" s="587">
        <f>IF(KU$16,IF(KV$16=0.5,MROUND(RopeSkippingResultat[[#This Row],[Resultat]],KV$16),ROUND(RopeSkippingResultat[[#This Row],[Resultat]],KV$16)),ROUNDDOWN(RopeSkippingResultat[[#This Row],[Resultat]],KV$16))</f>
        <v>0</v>
      </c>
      <c r="KV40" s="191" t="str">
        <f>IF(OR(Geschlecht[[#This Row],[Geschlecht (Skala)]]="",KS$16=""),"",MID(Geschlecht[[#This Row],[Geschlecht (Skala)]],1,1)&amp;MID(KS$16,1,1))</f>
        <v/>
      </c>
      <c r="KW40" s="190" t="str">
        <f>IF(OR(KV40="",RopeSkippingResultat[[#This Row],[Resultat]]=""),"",REPLACE(INDEX(StdDisziplinen[TabÜberschriftResultat],KS$3),FIND("X",INDEX(StdDisziplinen[TabÜberschriftResultat],KS$3),1),2,KV40))</f>
        <v/>
      </c>
      <c r="KX40" s="192" t="str">
        <f ca="1">IF(KW40="","",IF(OR(RopeSkippingResultat[[#This Row],[Resultat]]=Stammdaten!$AX$22,RopeSkippingResultat[[#This Row],[Resultat]]=Stammdaten!$AX$19),Stammdaten!$AX$19,IF(ISNA(INDEX(INDIRECT(KW40),MATCH(RopeSkippingGerundet[[#This Row],[Rundung]],INDIRECT(KW40),KW$18))),IF(KW$18=-1,LARGE(INDIRECT(KW40),1),SMALL(INDIRECT(KW40),1)),INDEX(INDIRECT(KW40),MATCH(RopeSkippingGerundet[[#This Row],[Rundung]],INDIRECT(KW40),KW$18)))))</f>
        <v/>
      </c>
      <c r="KZ40" s="18" t="str">
        <f ca="1">IF(RopeSkippingSkalawert[[#This Row],[Skala-Wert]]="","",REPLACE(INDEX(StdDisziplinen[TabÜberschriftNote],KS$3),FIND("X",INDEX(StdDisziplinen[TabÜberschriftNote],KS$3),1),2,KV40))</f>
        <v/>
      </c>
      <c r="LA40" s="45" t="str">
        <f ca="1">IF(OR(KZ40="",RopeSkippingSkalawert[[#This Row],[Skala-Wert]]=Stammdaten!$AX$19),"",INDEX(INDIRECT(KZ40),MATCH(RopeSkippingSkalawert[[#This Row],[Skala-Wert]],INDIRECT(KW40),0)))</f>
        <v/>
      </c>
      <c r="LB40" s="31"/>
      <c r="LC40" s="599"/>
      <c r="LD40" s="190"/>
      <c r="LE40" s="586">
        <f>IF(LE$16,IF(LF$16=0.5,MROUND(AerobicResultat[[#This Row],[Resultat]],LF$16),ROUND(AerobicResultat[[#This Row],[Resultat]],LF$16)),ROUNDDOWN(AerobicResultat[[#This Row],[Resultat]],LF$16))</f>
        <v>0</v>
      </c>
      <c r="LF40" s="191" t="str">
        <f>IF(OR(Geschlecht[[#This Row],[Geschlecht (Skala)]]="",LC$16=""),"",MID(Geschlecht[[#This Row],[Geschlecht (Skala)]],1,1)&amp;MID(LC$16,1,1))</f>
        <v/>
      </c>
      <c r="LG40" s="190" t="str">
        <f>IF(OR(LF40="",AerobicResultat[[#This Row],[Resultat]]=""),"",REPLACE(INDEX(StdDisziplinen[TabÜberschriftResultat],LC$3),FIND("X",INDEX(StdDisziplinen[TabÜberschriftResultat],LC$3),1),2,LF40))</f>
        <v/>
      </c>
      <c r="LH40" s="31" t="str">
        <f ca="1">IF(LG40="","",IF(OR(AerobicResultat[[#This Row],[Resultat]]=Stammdaten!$AX$22,AerobicResultat[[#This Row],[Resultat]]=Stammdaten!$AX$19),Stammdaten!$AX$19,IF(ISNA(INDEX(INDIRECT(LG40),MATCH(AerobicGerundet[[#This Row],[Rundung]],INDIRECT(LG40),LG$18))),IF(LG$18=-1,LARGE(INDIRECT(LG40),1),SMALL(INDIRECT(LG40),1)),INDEX(INDIRECT(LG40),MATCH(AerobicGerundet[[#This Row],[Rundung]],INDIRECT(LG40),LG$18)))))</f>
        <v/>
      </c>
      <c r="LJ40" s="18" t="str">
        <f ca="1">IF(AerobicSkalawert[[#This Row],[Skala-Wert]]="","",REPLACE(INDEX(StdDisziplinen[TabÜberschriftNote],LC$3),FIND("X",INDEX(StdDisziplinen[TabÜberschriftNote],LC$3),1),2,LF40))</f>
        <v/>
      </c>
      <c r="LK40" s="45" t="str">
        <f ca="1">IF(OR(LJ40="",AerobicSkalawert[[#This Row],[Skala-Wert]]=Stammdaten!$AX$19),"",INDEX(INDIRECT(LJ40),MATCH(AerobicSkalawert[[#This Row],[Skala-Wert]],INDIRECT(LG40),0)))</f>
        <v/>
      </c>
      <c r="LL40" s="31"/>
      <c r="LM40" s="45" t="str">
        <f ca="1">IF(TanzenSkalawert[[#This Row],[Skala-Wert]]=$A$3,$A$2,IF(ISNUMBER(TanzenSkalawert[[#This Row],[Skala-Wert]]),TanzenNote[[#This Row],[Note]],"!"))</f>
        <v>!</v>
      </c>
      <c r="LN40" s="45" t="str">
        <f ca="1">IF(RopeSkippingSkalawert[[#This Row],[Skala-Wert]]=$A$3,$A$2,IF(ISNUMBER(RopeSkippingSkalawert[[#This Row],[Skala-Wert]]),RopeSkippingNote[[#This Row],[Note]],"!"))</f>
        <v>!</v>
      </c>
      <c r="LO40" s="45" t="str">
        <f ca="1">IF(AerobicSkalawert[[#This Row],[Skala-Wert]]=$A$3,$A$2,IF(ISNUMBER(AerobicSkalawert[[#This Row],[Skala-Wert]]),AerobicNote[[#This Row],[Note]],"!"))</f>
        <v>!</v>
      </c>
      <c r="LP40" s="36">
        <f t="shared" ca="1" si="132"/>
        <v>0</v>
      </c>
      <c r="LQ40" s="36">
        <f t="shared" ca="1" si="133"/>
        <v>0</v>
      </c>
      <c r="LR40" s="244" t="str">
        <f t="shared" ca="1" si="22"/>
        <v>nd</v>
      </c>
      <c r="LS40" s="244" t="str">
        <f t="shared" ca="1" si="23"/>
        <v>nd</v>
      </c>
      <c r="LT40" s="244" t="str">
        <f t="shared" ca="1" si="24"/>
        <v>nd</v>
      </c>
      <c r="LU40" s="242" t="str">
        <f t="shared" ca="1" si="25"/>
        <v/>
      </c>
      <c r="LV40" s="242" t="str">
        <f t="shared" ca="1" si="134"/>
        <v/>
      </c>
      <c r="LW40" s="242" t="str">
        <f t="shared" ca="1" si="135"/>
        <v/>
      </c>
      <c r="LX40" s="242" t="str">
        <f ca="1">IF(LW40="",Stammdaten!$AM$4,INDEX(INDIRECT($B$4),MATCH($LW40,INDIRECT($B$5),0)))</f>
        <v>Darstellen und Tanzen</v>
      </c>
      <c r="LY40" s="242" t="str">
        <f ca="1">IF(LW40="",Stammdaten!$AY$27,IF(ISNUMBER(LU40),LX40,IF(ISNUMBER(LV40),TRIM(Stammdaten!$AX$25),"")))</f>
        <v>nicht durchgeführt</v>
      </c>
      <c r="LZ40" s="242" t="str">
        <f t="shared" ca="1" si="136"/>
        <v>Darstellen und Tanzen</v>
      </c>
      <c r="MA40" s="242" t="str">
        <f t="shared" ca="1" si="137"/>
        <v/>
      </c>
      <c r="MB40" s="242" t="str">
        <f t="shared" ca="1" si="26"/>
        <v>Darstellen und TanzenResultat[@Resultat]</v>
      </c>
      <c r="MC40" s="274" t="str">
        <f t="shared" ca="1" si="138"/>
        <v/>
      </c>
      <c r="MD40" s="242" t="str">
        <f t="shared" ca="1" si="139"/>
        <v>Darstellen und TanzenSkalawert[@[Skala-Wert]]</v>
      </c>
      <c r="ME40" s="274" t="str">
        <f t="shared" ca="1" si="140"/>
        <v/>
      </c>
      <c r="MF40" s="47" t="str">
        <f t="shared" ca="1" si="27"/>
        <v/>
      </c>
      <c r="MG40" s="200" t="str">
        <f t="shared" ca="1" si="141"/>
        <v>StdDisziplinen[MaxTextSt]</v>
      </c>
      <c r="MH40" s="200" t="str">
        <f t="shared" ca="1" si="142"/>
        <v/>
      </c>
      <c r="MI40" s="45"/>
      <c r="MJ40" s="98" t="str">
        <f ca="1">IF(LP40&gt;0,MAX(LM40:LO40),IF(LQ40&gt;0,$A$3,INDEX(StdFehler[StdFehler],4)))</f>
        <v>Zu wenige Noten</v>
      </c>
      <c r="MK40" s="45"/>
      <c r="ML40" s="37"/>
      <c r="MM40" s="190"/>
      <c r="MN40" s="586">
        <f>IF(MN$16,IF(MO$16=0.5,MROUND(BasketballResultat[[#This Row],[Resultat]],MO$16),ROUND(BasketballResultat[[#This Row],[Resultat]],MO$16)),ROUNDDOWN(BasketballResultat[[#This Row],[Resultat]],MO$16))</f>
        <v>0</v>
      </c>
      <c r="MO40" s="191" t="str">
        <f>IF(OR(Geschlecht[[#This Row],[Geschlecht (Skala)]]="",ML$16=""),"",MID(Geschlecht[[#This Row],[Geschlecht (Skala)]],1,1)&amp;MID(ML$16,1,1))</f>
        <v/>
      </c>
      <c r="MP40" s="190" t="str">
        <f>IF(OR(MO40="",BasketballResultat[[#This Row],[Resultat]]=""),"",REPLACE(INDEX(StdDisziplinen[TabÜberschriftResultat],ML$3),FIND("X",INDEX(StdDisziplinen[TabÜberschriftResultat],ML$3),1),2,MO40))</f>
        <v/>
      </c>
      <c r="MQ40" s="31" t="str">
        <f ca="1">IF(MP40="","",IF(OR(BasketballResultat[[#This Row],[Resultat]]=Stammdaten!$AX$22,BasketballResultat[[#This Row],[Resultat]]=Stammdaten!$AX$19),Stammdaten!$AX$19,IF(ISNA(INDEX(INDIRECT(MP40),MATCH(BasketballGerundet[[#This Row],[Rundung]],INDIRECT(MP40),MP$18))),IF(MP$18=-1,LARGE(INDIRECT(MP40),1),SMALL(INDIRECT(MP40),1)),INDEX(INDIRECT(MP40),MATCH(BasketballGerundet[[#This Row],[Rundung]],INDIRECT(MP40),MP$18)))))</f>
        <v/>
      </c>
      <c r="MS40" s="18" t="str">
        <f ca="1">IF(BasketballSkalawert[[#This Row],[Skala-Wert]]="","",REPLACE(INDEX(StdDisziplinen[TabÜberschriftNote],ML$3),FIND("X",INDEX(StdDisziplinen[TabÜberschriftNote],ML$3),1),2,MO40))</f>
        <v/>
      </c>
      <c r="MT40" s="31" t="str">
        <f ca="1">IF(OR(MS40="",BasketballSkalawert[[#This Row],[Skala-Wert]]=Stammdaten!$AX$19),"",INDEX(INDIRECT(MS40),MATCH(BasketballSkalawert[[#This Row],[Skala-Wert]],INDIRECT(MP40),0)))</f>
        <v/>
      </c>
      <c r="MU40" s="31"/>
      <c r="MV40" s="37"/>
      <c r="MW40" s="190"/>
      <c r="MX40" s="586">
        <f>IF(MX$16,IF(MY$16=0.5,MROUND(FussballResultat[[#This Row],[Resultat]],MY$16),ROUND(FussballResultat[[#This Row],[Resultat]],MY$16)),ROUNDDOWN(FussballResultat[[#This Row],[Resultat]],MY$16))</f>
        <v>0</v>
      </c>
      <c r="MY40" s="191" t="str">
        <f>IF(OR(Geschlecht[[#This Row],[Geschlecht (Skala)]]="",MV$16=""),"",MID(Geschlecht[[#This Row],[Geschlecht (Skala)]],1,1)&amp;MID(MV$16,1,1))</f>
        <v/>
      </c>
      <c r="MZ40" s="190" t="str">
        <f>IF(OR(MY40="",FussballResultat[[#This Row],[Resultat]]=""),"",REPLACE(INDEX(StdDisziplinen[TabÜberschriftResultat],MV$3),FIND("X",INDEX(StdDisziplinen[TabÜberschriftResultat],MV$3),1),2,MY40))</f>
        <v/>
      </c>
      <c r="NA40" s="31" t="str">
        <f ca="1">IF(MZ40="","",IF(OR(FussballResultat[[#This Row],[Resultat]]=Stammdaten!$AX$22,FussballResultat[[#This Row],[Resultat]]=Stammdaten!$AX$19),Stammdaten!$AX$19,IF(ISNA(INDEX(INDIRECT(MZ40),MATCH(FussballGerundet[[#This Row],[Rundung]],INDIRECT(MZ40),MZ$18))),IF(MZ$18=-1,LARGE(INDIRECT(MZ40),1),SMALL(INDIRECT(MZ40),1)),INDEX(INDIRECT(MZ40),MATCH(FussballGerundet[[#This Row],[Rundung]],INDIRECT(MZ40),MZ$18)))))</f>
        <v/>
      </c>
      <c r="NC40" s="18" t="str">
        <f ca="1">IF(FussballSkalawert[[#This Row],[Skala-Wert]]="","",REPLACE(INDEX(StdDisziplinen[TabÜberschriftNote],MV$3),FIND("X",INDEX(StdDisziplinen[TabÜberschriftNote],MV$3),1),2,MY40))</f>
        <v/>
      </c>
      <c r="ND40" s="31" t="str">
        <f ca="1">IF(OR(NC40="",FussballSkalawert[[#This Row],[Skala-Wert]]=Stammdaten!$AX$19),"",INDEX(INDIRECT(NC40),MATCH(FussballSkalawert[[#This Row],[Skala-Wert]],INDIRECT(MZ40),0)))</f>
        <v/>
      </c>
      <c r="NE40" s="31"/>
      <c r="NF40" s="37"/>
      <c r="NG40" s="190"/>
      <c r="NH40" s="586">
        <f>IF(NH$16,IF(NI$16=0.5,MROUND(HandballResultat[[#This Row],[Resultat]],NI$16),ROUND(HandballResultat[[#This Row],[Resultat]],NI$16)),ROUNDDOWN(HandballResultat[[#This Row],[Resultat]],NI$16))</f>
        <v>0</v>
      </c>
      <c r="NI40" s="191" t="str">
        <f>IF(OR(Geschlecht[[#This Row],[Geschlecht (Skala)]]="",NF$16=""),"",MID(Geschlecht[[#This Row],[Geschlecht (Skala)]],1,1)&amp;MID(NF$16,1,1))</f>
        <v/>
      </c>
      <c r="NJ40" s="190" t="str">
        <f>IF(OR(NI40="",HandballResultat[[#This Row],[Resultat]]=""),"",REPLACE(INDEX(StdDisziplinen[TabÜberschriftResultat],NF$3),FIND("X",INDEX(StdDisziplinen[TabÜberschriftResultat],NF$3),1),2,NI40))</f>
        <v/>
      </c>
      <c r="NK40" s="31" t="str">
        <f ca="1">IF(NJ40="","",IF(OR(HandballResultat[[#This Row],[Resultat]]=Stammdaten!$AX$22,HandballResultat[[#This Row],[Resultat]]=Stammdaten!$AX$19),Stammdaten!$AX$19,IF(ISNA(INDEX(INDIRECT(NJ40),MATCH(HandballGerundet[[#This Row],[Rundung]],INDIRECT(NJ40),NJ$18))),IF(NJ$18=-1,LARGE(INDIRECT(NJ40),1),SMALL(INDIRECT(NJ40),1)),INDEX(INDIRECT(NJ40),MATCH(HandballGerundet[[#This Row],[Rundung]],INDIRECT(NJ40),NJ$18)))))</f>
        <v/>
      </c>
      <c r="NM40" s="18" t="str">
        <f ca="1">IF(HandballSkalawert[[#This Row],[Skala-Wert]]="","",REPLACE(INDEX(StdDisziplinen[TabÜberschriftNote],NF$3),FIND("X",INDEX(StdDisziplinen[TabÜberschriftNote],NF$3),1),2,NI40))</f>
        <v/>
      </c>
      <c r="NN40" s="31" t="str">
        <f ca="1">IF(OR(NM40="",HandballSkalawert[[#This Row],[Skala-Wert]]=Stammdaten!$AX$19),"",INDEX(INDIRECT(NM40),MATCH(HandballSkalawert[[#This Row],[Skala-Wert]],INDIRECT(NJ40),0)))</f>
        <v/>
      </c>
      <c r="NO40" s="31"/>
      <c r="NP40" s="37"/>
      <c r="NQ40" s="190"/>
      <c r="NR40" s="586">
        <f>IF(NR$16,IF(NS$16=0.5,MROUND(UnihockeyResultat[[#This Row],[Resultat]],NS$16),ROUND(UnihockeyResultat[[#This Row],[Resultat]],NS$16)),ROUNDDOWN(UnihockeyResultat[[#This Row],[Resultat]],NS$16))</f>
        <v>0</v>
      </c>
      <c r="NS40" s="191" t="str">
        <f>IF(OR(Geschlecht[[#This Row],[Geschlecht (Skala)]]="",NP$16=""),"",MID(Geschlecht[[#This Row],[Geschlecht (Skala)]],1,1)&amp;MID(NP$16,1,1))</f>
        <v/>
      </c>
      <c r="NT40" s="190" t="str">
        <f>IF(OR(NS40="",UnihockeyResultat[[#This Row],[Resultat]]=""),"",REPLACE(INDEX(StdDisziplinen[TabÜberschriftResultat],NP$3),FIND("X",INDEX(StdDisziplinen[TabÜberschriftResultat],NP$3),1),2,NS40))</f>
        <v/>
      </c>
      <c r="NU40" s="31" t="str">
        <f ca="1">IF(NT40="","",IF(OR(UnihockeyResultat[[#This Row],[Resultat]]=Stammdaten!$AX$22,UnihockeyResultat[[#This Row],[Resultat]]=Stammdaten!$AX$19),Stammdaten!$AX$19,IF(ISNA(INDEX(INDIRECT(NT40),MATCH(UnihockeyGerundet[[#This Row],[Rundung]],INDIRECT(NT40),NT$18))),IF(NT$18=-1,LARGE(INDIRECT(NT40),1),SMALL(INDIRECT(NT40),1)),INDEX(INDIRECT(NT40),MATCH(UnihockeyGerundet[[#This Row],[Rundung]],INDIRECT(NT40),NT$18)))))</f>
        <v/>
      </c>
      <c r="NW40" s="18" t="str">
        <f ca="1">IF(UnihockeySkalawert[[#This Row],[Skala-Wert]]="","",REPLACE(INDEX(StdDisziplinen[TabÜberschriftNote],NP$3),FIND("X",INDEX(StdDisziplinen[TabÜberschriftNote],NP$3),1),2,NS40))</f>
        <v/>
      </c>
      <c r="NX40" s="31" t="str">
        <f ca="1">IF(OR(NW40="",UnihockeySkalawert[[#This Row],[Skala-Wert]]=Stammdaten!$AX$19),"",INDEX(INDIRECT(NW40),MATCH(UnihockeySkalawert[[#This Row],[Skala-Wert]],INDIRECT(NT40),0)))</f>
        <v/>
      </c>
      <c r="NY40" s="31"/>
      <c r="NZ40" s="597"/>
      <c r="OA40" s="190"/>
      <c r="OB40" s="587">
        <f>IF(OB$16,IF(OC$16=0.5,MROUND(VolleyballResultat[[#This Row],[Resultat]],OC$16),ROUND(VolleyballResultat[[#This Row],[Resultat]],OC$16)),ROUNDDOWN(VolleyballResultat[[#This Row],[Resultat]],OC$16))</f>
        <v>0</v>
      </c>
      <c r="OC40" s="191" t="str">
        <f>IF(OR(Geschlecht[[#This Row],[Geschlecht (Skala)]]="",NZ$16=""),"",MID(Geschlecht[[#This Row],[Geschlecht (Skala)]],1,1)&amp;MID(NZ$16,1,1))</f>
        <v/>
      </c>
      <c r="OD40" s="190" t="str">
        <f>IF(OR(OC40="",VolleyballResultat[[#This Row],[Resultat]]=""),"",REPLACE(INDEX(StdDisziplinen[TabÜberschriftResultat],NZ$3),FIND("X",INDEX(StdDisziplinen[TabÜberschriftResultat],NZ$3),1),2,OC40))</f>
        <v/>
      </c>
      <c r="OE40" s="192" t="str">
        <f ca="1">IF(OD40="","",IF(OR(VolleyballResultat[[#This Row],[Resultat]]=Stammdaten!$AX$22,VolleyballResultat[[#This Row],[Resultat]]=Stammdaten!$AX$19),Stammdaten!$AX$19,IF(ISNA(INDEX(INDIRECT(OD40),MATCH(VolleyballGerundet[[#This Row],[Rundung]],INDIRECT(OD40),OD$18))),IF(OD$18=-1,LARGE(INDIRECT(OD40),1),SMALL(INDIRECT(OD40),1)),INDEX(INDIRECT(OD40),MATCH(VolleyballGerundet[[#This Row],[Rundung]],INDIRECT(OD40),OD$18)))))</f>
        <v/>
      </c>
      <c r="OG40" s="18" t="str">
        <f ca="1">IF(VolleyballSkalawert[[#This Row],[Skala-Wert]]="","",REPLACE(INDEX(StdDisziplinen[TabÜberschriftNote],NZ$3),FIND("X",INDEX(StdDisziplinen[TabÜberschriftNote],NZ$3),1),2,OC40))</f>
        <v/>
      </c>
      <c r="OH40" s="31" t="str">
        <f ca="1">IF(OR(OG40="",VolleyballSkalawert[[#This Row],[Skala-Wert]]=Stammdaten!$AX$19),"",INDEX(INDIRECT(OG40),MATCH(VolleyballSkalawert[[#This Row],[Skala-Wert]],INDIRECT(OD40),0)))</f>
        <v/>
      </c>
      <c r="OI40" s="45"/>
      <c r="OJ40" s="31">
        <f ca="1">IF(BasketballSkalawert[[#This Row],[Skala-Wert]]=$A$3,$A$2,IF(BasketballNote[[#This Row],[Note]]="",0,BasketballNote[[#This Row],[Note]]))</f>
        <v>0</v>
      </c>
      <c r="OK40" s="31">
        <f ca="1">IF(FussballSkalawert[[#This Row],[Skala-Wert]]=$A$3,$A$2,IF(FussballNote[[#This Row],[Note]]="",0,FussballNote[[#This Row],[Note]]))</f>
        <v>0</v>
      </c>
      <c r="OL40" s="31">
        <f ca="1">IF(HandballSkalawert[[#This Row],[Skala-Wert]]=$A$3,$A$2,IF(HandballNote[[#This Row],[Note]]="",0,HandballNote[[#This Row],[Note]]))</f>
        <v>0</v>
      </c>
      <c r="OM40" s="31">
        <f ca="1">IF(UnihockeySkalawert[[#This Row],[Skala-Wert]]=$A$3,$A$2,IF(UnihockeyNote[[#This Row],[Note]]="",0,UnihockeyNote[[#This Row],[Note]]))</f>
        <v>0</v>
      </c>
      <c r="ON40" s="31">
        <f ca="1">IF(VolleyballSkalawert[[#This Row],[Skala-Wert]]=$A$3,$A$2,IF(VolleyballNote[[#This Row],[Note]]="",0,VolleyballNote[[#This Row],[Note]]))</f>
        <v>0</v>
      </c>
      <c r="OO40" s="202">
        <f t="shared" ca="1" si="28"/>
        <v>0</v>
      </c>
      <c r="OP40" s="202">
        <f t="shared" ca="1" si="29"/>
        <v>0</v>
      </c>
      <c r="OQ40" s="202">
        <f t="shared" ca="1" si="143"/>
        <v>0</v>
      </c>
      <c r="OR40" s="96" t="str">
        <f t="shared" ca="1" si="144"/>
        <v>!</v>
      </c>
      <c r="OS40" s="96" t="str">
        <f t="shared" ca="1" si="30"/>
        <v>!</v>
      </c>
      <c r="OT40" s="96" t="str">
        <f t="shared" ca="1" si="31"/>
        <v>!</v>
      </c>
      <c r="OU40" s="96" t="str">
        <f ca="1">IF(NOT(OQ40),INDEX(StdFehler[StdFehler],4),IF(COUNTIF(OR40:OT40,$A$2)&gt;=$OQ$13,$A$3,ROUND(AVERAGE(OR40:OT40)/$RX$4,0)*$RX$4))</f>
        <v>Zu wenige Noten</v>
      </c>
      <c r="OV40" s="244" t="str">
        <f t="shared" ca="1" si="145"/>
        <v>nd</v>
      </c>
      <c r="OW40" s="244" t="str">
        <f t="shared" ca="1" si="146"/>
        <v>nd</v>
      </c>
      <c r="OX40" s="244" t="str">
        <f t="shared" ca="1" si="147"/>
        <v>nd</v>
      </c>
      <c r="OY40" s="244" t="str">
        <f t="shared" ca="1" si="148"/>
        <v>nd</v>
      </c>
      <c r="OZ40" s="244" t="str">
        <f t="shared" ca="1" si="149"/>
        <v>nd</v>
      </c>
      <c r="PA40" s="202" t="b">
        <f t="shared" ca="1" si="150"/>
        <v>0</v>
      </c>
      <c r="PB40" s="202">
        <f t="shared" ca="1" si="151"/>
        <v>1</v>
      </c>
      <c r="PC40" s="202">
        <f t="shared" ca="1" si="152"/>
        <v>0</v>
      </c>
      <c r="PD40" s="96" t="str">
        <f t="shared" ca="1" si="153"/>
        <v/>
      </c>
      <c r="PE40" s="96" t="str">
        <f t="shared" ca="1" si="154"/>
        <v/>
      </c>
      <c r="PF40" s="200">
        <f t="shared" ca="1" si="155"/>
        <v>0</v>
      </c>
      <c r="PG40" s="202" t="str">
        <f t="shared" ca="1" si="156"/>
        <v/>
      </c>
      <c r="PH40" s="200" t="str">
        <f t="shared" ca="1" si="157"/>
        <v/>
      </c>
      <c r="PI40" s="200" t="str">
        <f t="shared" ca="1" si="158"/>
        <v/>
      </c>
      <c r="PJ40" s="200" t="str">
        <f t="shared" ca="1" si="159"/>
        <v/>
      </c>
      <c r="PK40" s="242" t="str">
        <f t="shared" ca="1" si="160"/>
        <v/>
      </c>
      <c r="PL40" s="242" t="str">
        <f t="shared" ca="1" si="161"/>
        <v/>
      </c>
      <c r="PM40" s="242" t="str">
        <f t="shared" ca="1" si="162"/>
        <v/>
      </c>
      <c r="PN40" s="242" t="str">
        <f t="shared" ca="1" si="163"/>
        <v>Erste Spielsportart</v>
      </c>
      <c r="PO40" s="242" t="str">
        <f ca="1">IF(PN40=$PM$11,Stammdaten!$AY$27,IF(PR40=$A$2,TRIM(Stammdaten!$AX$25),""))</f>
        <v>nicht durchgeführt</v>
      </c>
      <c r="PP40" s="242" t="str">
        <f t="shared" ca="1" si="164"/>
        <v/>
      </c>
      <c r="PQ40" s="202" t="str">
        <f t="shared" ca="1" si="165"/>
        <v>Erste SpielsportartResultat[@Resultat]</v>
      </c>
      <c r="PR40" s="98" t="str">
        <f t="shared" ca="1" si="166"/>
        <v/>
      </c>
      <c r="PS40" s="202" t="str">
        <f t="shared" ca="1" si="167"/>
        <v/>
      </c>
      <c r="PT40" s="202" t="str">
        <f t="shared" ca="1" si="168"/>
        <v>Erste SpielsportartSkalawert[@[Skala-Wert]]</v>
      </c>
      <c r="PU40" s="98" t="str">
        <f t="shared" ca="1" si="169"/>
        <v/>
      </c>
      <c r="PV40" s="202" t="str">
        <f t="shared" ca="1" si="170"/>
        <v/>
      </c>
      <c r="PW40" s="202" t="str">
        <f t="shared" ca="1" si="171"/>
        <v/>
      </c>
      <c r="PX40" s="202" t="str">
        <f t="shared" ca="1" si="172"/>
        <v>StdDisziplinen[MaxTextSt]</v>
      </c>
      <c r="PY40" s="202" t="str">
        <f t="shared" ca="1" si="173"/>
        <v/>
      </c>
      <c r="PZ40" s="202" t="b">
        <f t="shared" ca="1" si="174"/>
        <v>0</v>
      </c>
      <c r="QA40" s="202" t="str">
        <f t="shared" ca="1" si="175"/>
        <v/>
      </c>
      <c r="QB40" s="202" t="str">
        <f t="shared" ca="1" si="32"/>
        <v/>
      </c>
      <c r="QC40" s="202" t="str">
        <f t="shared" ca="1" si="176"/>
        <v/>
      </c>
      <c r="QD40" s="202" t="str">
        <f t="shared" ca="1" si="177"/>
        <v/>
      </c>
      <c r="QE40" s="242" t="str">
        <f t="shared" ca="1" si="178"/>
        <v/>
      </c>
      <c r="QF40" s="242" t="str">
        <f t="shared" ca="1" si="179"/>
        <v/>
      </c>
      <c r="QG40" s="242" t="str">
        <f t="shared" ca="1" si="180"/>
        <v>Zweite Spielsportart</v>
      </c>
      <c r="QH40" s="242" t="str">
        <f ca="1">IF(QG40=$QF$11,Stammdaten!$AY$27,IF(QK40=$A$2,TRIM(Stammdaten!$AX$25),""))</f>
        <v>nicht durchgeführt</v>
      </c>
      <c r="QI40" s="242" t="str">
        <f t="shared" ca="1" si="181"/>
        <v/>
      </c>
      <c r="QJ40" s="202" t="str">
        <f t="shared" ca="1" si="182"/>
        <v>Zweite SpielsportartResultat[@Resultat]</v>
      </c>
      <c r="QK40" s="98" t="str">
        <f t="shared" ca="1" si="183"/>
        <v/>
      </c>
      <c r="QL40" s="202" t="str">
        <f t="shared" ca="1" si="184"/>
        <v/>
      </c>
      <c r="QM40" s="202" t="str">
        <f t="shared" ca="1" si="185"/>
        <v>Zweite SpielsportartSkalawert[@[Skala-Wert]]</v>
      </c>
      <c r="QN40" s="98" t="str">
        <f t="shared" ca="1" si="186"/>
        <v/>
      </c>
      <c r="QO40" s="202" t="str">
        <f t="shared" ca="1" si="187"/>
        <v/>
      </c>
      <c r="QP40" s="202" t="str">
        <f t="shared" ca="1" si="188"/>
        <v/>
      </c>
      <c r="QQ40" s="202" t="str">
        <f t="shared" ca="1" si="189"/>
        <v>StdDisziplinen[MaxTextSt]</v>
      </c>
      <c r="QR40" s="202" t="str">
        <f t="shared" ca="1" si="190"/>
        <v/>
      </c>
      <c r="QS40" s="202" t="b">
        <f t="shared" ca="1" si="191"/>
        <v>0</v>
      </c>
      <c r="QT40" s="242" t="str">
        <f t="shared" ca="1" si="33"/>
        <v>Dritte Spielsportart</v>
      </c>
      <c r="QU40" s="242" t="str">
        <f ca="1">IF(QT40=$QT$11,MID(Stammdaten!$AX$27,2,LEN(Stammdaten!$AX$27)),IF(QX40=$A$2,TRIM(Stammdaten!$AX$25),""))</f>
        <v>nicht durchgeführt</v>
      </c>
      <c r="QV40" s="242" t="str">
        <f t="shared" ca="1" si="34"/>
        <v/>
      </c>
      <c r="QW40" s="202" t="str">
        <f t="shared" ca="1" si="192"/>
        <v>Dritte SpielsportartResultat[@Resultat]</v>
      </c>
      <c r="QX40" s="98" t="str">
        <f t="shared" ca="1" si="193"/>
        <v/>
      </c>
      <c r="QY40" s="202" t="str">
        <f t="shared" ca="1" si="35"/>
        <v/>
      </c>
      <c r="QZ40" s="202" t="str">
        <f t="shared" ca="1" si="194"/>
        <v>Dritte SpielsportartSkalawert[@[Skala-Wert]]</v>
      </c>
      <c r="RA40" s="98" t="str">
        <f t="shared" ca="1" si="224"/>
        <v/>
      </c>
      <c r="RB40" s="202" t="str">
        <f t="shared" ca="1" si="36"/>
        <v/>
      </c>
      <c r="RC40" s="202" t="str">
        <f t="shared" ca="1" si="196"/>
        <v/>
      </c>
      <c r="RD40" s="202" t="str">
        <f t="shared" ca="1" si="197"/>
        <v>StdDisziplinen[MaxTextSt]</v>
      </c>
      <c r="RE40" s="202" t="str">
        <f t="shared" ca="1" si="37"/>
        <v/>
      </c>
      <c r="RF40" s="244">
        <f t="shared" ca="1" si="38"/>
        <v>99</v>
      </c>
      <c r="RG40" s="244">
        <f t="shared" ca="1" si="39"/>
        <v>99</v>
      </c>
      <c r="RH40" s="244">
        <f t="shared" ca="1" si="40"/>
        <v>99</v>
      </c>
      <c r="RI40" s="244">
        <f t="shared" ca="1" si="41"/>
        <v>99</v>
      </c>
      <c r="RJ40" s="244">
        <f t="shared" ca="1" si="42"/>
        <v>99</v>
      </c>
      <c r="RK40" s="244">
        <f t="shared" ca="1" si="198"/>
        <v>99</v>
      </c>
      <c r="RL40" s="244">
        <f t="shared" ca="1" si="199"/>
        <v>99</v>
      </c>
      <c r="RM40" s="244">
        <f t="shared" ca="1" si="200"/>
        <v>99</v>
      </c>
      <c r="RN40" s="244">
        <f t="shared" ca="1" si="201"/>
        <v>99</v>
      </c>
      <c r="RO40" s="244">
        <f t="shared" ca="1" si="202"/>
        <v>99</v>
      </c>
      <c r="RP40" s="202" t="str">
        <f t="shared" ca="1" si="43"/>
        <v>Zu wenige Noten</v>
      </c>
      <c r="RQ40" s="202" t="str">
        <f t="shared" ca="1" si="203"/>
        <v>Zu wenige Noten</v>
      </c>
      <c r="RR40" s="202" t="str">
        <f t="shared" ca="1" si="203"/>
        <v>Zu wenige Noten</v>
      </c>
      <c r="RS40" s="202" t="str">
        <f t="shared" ca="1" si="204"/>
        <v>Zu wenige Noten</v>
      </c>
      <c r="RT40" s="202" t="str">
        <f t="shared" ca="1" si="204"/>
        <v>Zu wenige Noten</v>
      </c>
      <c r="RU40" s="202" t="str">
        <f t="shared" ca="1" si="205"/>
        <v>Zu wenige Noten</v>
      </c>
      <c r="RV40" s="202" t="str">
        <f t="shared" ca="1" si="206"/>
        <v>Zu wenige Noten</v>
      </c>
      <c r="RW40" s="31"/>
      <c r="RX40" s="56" t="str">
        <f t="shared" ca="1" si="44"/>
        <v>Zu wenige Noten</v>
      </c>
      <c r="RY40" s="31"/>
      <c r="RZ40" s="31" t="str">
        <f t="shared" ca="1" si="45"/>
        <v>Zu wenige Noten</v>
      </c>
      <c r="SA40" s="31" t="str">
        <f t="shared" ca="1" si="46"/>
        <v>Zu wenige Noten</v>
      </c>
      <c r="SB40" s="45" t="str">
        <f t="shared" ca="1" si="47"/>
        <v>Zu wenige Noten</v>
      </c>
      <c r="SC40" s="31" t="str">
        <f t="shared" ca="1" si="207"/>
        <v>Zu wenige Noten</v>
      </c>
      <c r="SD40" s="31" t="str">
        <f t="shared" ca="1" si="208"/>
        <v>Zu wenige Noten</v>
      </c>
      <c r="SE40" s="31" t="str">
        <f t="shared" ca="1" si="225"/>
        <v>Zu wenige Noten</v>
      </c>
      <c r="SF40" s="31" t="str">
        <f t="shared" ca="1" si="209"/>
        <v>Zu wenige Noten</v>
      </c>
      <c r="SG40" s="31" t="str">
        <f t="shared" ca="1" si="226"/>
        <v>Zu wenige Noten</v>
      </c>
      <c r="SH40" s="36">
        <f t="shared" ca="1" si="210"/>
        <v>0</v>
      </c>
      <c r="SI40" s="36">
        <f t="shared" ca="1" si="211"/>
        <v>0</v>
      </c>
      <c r="SJ40" s="36">
        <f t="shared" ca="1" si="212"/>
        <v>0</v>
      </c>
      <c r="SK40" s="31">
        <f t="shared" ca="1" si="213"/>
        <v>99</v>
      </c>
      <c r="SL40" s="31">
        <f t="shared" ca="1" si="214"/>
        <v>99</v>
      </c>
      <c r="SM40" s="36" t="str">
        <f t="shared" ca="1" si="215"/>
        <v>99.0</v>
      </c>
      <c r="SN40" s="31">
        <f t="shared" ca="1" si="216"/>
        <v>99</v>
      </c>
      <c r="SO40" s="36" t="str">
        <f ca="1">IF(NOT(SJ40),INDEX(StdFehler[StdFehler],4),IF(SI40=$SJ$13,$A$3,CONCATENATE(TEXT(SK40,"#.0"),", ",TEXT(SL40,"#.0"),", ",SM40,", ",TEXT(SN40,"#.0"))))</f>
        <v>Zu wenige Noten</v>
      </c>
      <c r="SP40" s="36" t="str">
        <f t="shared" ca="1" si="49"/>
        <v>Zu wenige Noten</v>
      </c>
      <c r="SQ40" s="36" t="str">
        <f t="shared" ca="1" si="49"/>
        <v>Zu wenige Noten</v>
      </c>
      <c r="SR40" s="36" t="str">
        <f t="shared" ca="1" si="49"/>
        <v>Zu wenige Noten</v>
      </c>
      <c r="SS40" s="36" t="str">
        <f t="shared" ca="1" si="49"/>
        <v>Zu wenige Noten</v>
      </c>
      <c r="ST40" s="36" t="str">
        <f t="shared" ca="1" si="217"/>
        <v>Zu wenige Noten</v>
      </c>
      <c r="SU40" s="36"/>
      <c r="SV40" s="214" t="str">
        <f t="shared" si="218"/>
        <v>D</v>
      </c>
      <c r="SW40" s="36"/>
      <c r="SX40" s="214" t="str">
        <f t="shared" si="219"/>
        <v>D</v>
      </c>
      <c r="SY40" s="36"/>
      <c r="SZ40" s="214" t="str">
        <f t="shared" si="220"/>
        <v>D</v>
      </c>
      <c r="TA40" s="36"/>
      <c r="TB40" s="214" t="str">
        <f t="shared" si="221"/>
        <v>D</v>
      </c>
      <c r="TC40" s="31"/>
      <c r="TD40" s="36" t="str">
        <f t="shared" ca="1" si="222"/>
        <v>Zu wenige Noten</v>
      </c>
      <c r="TE40" s="31"/>
      <c r="TF40" s="193" t="str">
        <f ca="1">IF(NOT(SJ40),INDEX(StdFehler[StdFehler],4),IF(SI40=$TF$4,$A$3,ROUND(AVERAGE(RZ40:SC40)/$TF$5,0)*$TF$5))</f>
        <v>Zu wenige Noten</v>
      </c>
      <c r="TH40" s="595" t="str">
        <f>IF(OR($TH$18=Stammdaten!$AX$20,$TH$18=""),Stammdaten!$AX$20,$TH$18)</f>
        <v>Disziplin</v>
      </c>
      <c r="TI40" s="33"/>
      <c r="TJ40" s="33" t="str">
        <f>IF(OR(Geschlecht[[#This Row],[Geschlecht (Skala)]]="",TH40="",TH40=Stammdaten!$AX$20),"",REPLACE(INDEX(StdDisziplinen[TabÜberschriftResultat],TH$3),FIND("XX",INDEX(StdDisziplinen[TabÜberschriftResultat],TH$3),1),2,Geschlecht[[#This Row],[Geschlecht (Skala)]]))</f>
        <v/>
      </c>
      <c r="TK40" s="596"/>
      <c r="TM40" s="37"/>
      <c r="TN40" s="40"/>
      <c r="TO40" s="587">
        <f>IF(TO$16,IF(TP$16=0.5,MROUND(SchwimmenResultat[[#This Row],[Resultat]],TP$16),ROUND(SchwimmenResultat[[#This Row],[Resultat]],TP$16)),ROUNDDOWN(SchwimmenResultat[[#This Row],[Resultat]],TP$16))</f>
        <v>0</v>
      </c>
      <c r="TP40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0" s="153" t="str">
        <f ca="1">IF(TP40="","",IF(OR(SchwimmenResultat[[#This Row],[Resultat]]=Stammdaten!$AX$22,SchwimmenResultat[[#This Row],[Resultat]]=Stammdaten!$AX$19),Stammdaten!$AX$19,IF(ISNA(INDEX(INDIRECT(TP40),MATCH(SchwimmenGerundet[[#This Row],[Rundung]],INDIRECT(TP40),TP$18))),IF(TP$18=-1,LARGE(INDIRECT(TP40),1),SMALL(INDIRECT(TP40),1)),INDEX(INDIRECT(TP40),MATCH(SchwimmenGerundet[[#This Row],[Rundung]],INDIRECT(TP40),TP$18)))))</f>
        <v/>
      </c>
      <c r="TR40" s="33" t="str">
        <f>IF(OR(TP40="",SchwimmenResultat[[#This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0" s="33"/>
      <c r="TT40" s="36" t="str">
        <f ca="1">IF(OR(TR40="",SchwimmenSkalawert[[#This Row],[Skala-Wert]]=Stammdaten!$AX$19),"",INDEX(INDIRECT(TR40),MATCH(SchwimmenSkalawert[[#This Row],[Skala-Wert]],INDIRECT(TP40),0)))</f>
        <v/>
      </c>
      <c r="TU40" s="36"/>
      <c r="TV40" s="190" t="str">
        <f>IF(ZwölfMinLaufHalleResultat[[#This Row],[Resultat]]=0,"",ZwölfMinLaufHalleResultat[[#This Row],[Resultat]])</f>
        <v/>
      </c>
      <c r="TW40" s="190"/>
      <c r="TX40" s="31" t="str">
        <f ca="1">ZwölfMinLaufHalleSkalawert[[#This Row],[Skala-Wert]]</f>
        <v/>
      </c>
      <c r="TZ40" s="31" t="str">
        <f ca="1">ZwölfMinLaufHalleNote[[#This Row],[Note]]</f>
        <v/>
      </c>
      <c r="UA40" s="31"/>
      <c r="UB40" s="190" t="str">
        <f>IF(ZwölfMinLaufimFreienResultat[[#This Row],[Resultat]]=0,"",ZwölfMinLaufimFreienResultat[[#This Row],[Resultat]])</f>
        <v/>
      </c>
      <c r="UC40" s="190"/>
      <c r="UD40" s="192" t="str">
        <f ca="1">ZwölfMinLaufimFreienSkalawert[[#This Row],[Skala-Wert]]</f>
        <v/>
      </c>
      <c r="UF40" s="31" t="str">
        <f ca="1">ZwölfMinLaufimFreienNote[[#This Row],[Note]]</f>
        <v/>
      </c>
      <c r="UG40" s="31"/>
      <c r="UH40" s="597"/>
      <c r="UI40" s="190"/>
      <c r="UJ40" s="587">
        <f>IF(UJ$16,IF(UK$16=0.5,MROUND(BeweglichkeitResultat[[#This Row],[Resultat]],UK$16),ROUND(BeweglichkeitResultat[[#This Row],[Resultat]],UK$16)),ROUNDDOWN(BeweglichkeitResultat[[#This Row],[Resultat]],UK$16))</f>
        <v>0</v>
      </c>
      <c r="UK40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0" s="192" t="str">
        <f ca="1">IF(UK40="","",IF(OR(BeweglichkeitResultat[[#This Row],[Resultat]]=Stammdaten!$AX$22,BeweglichkeitResultat[[#This Row],[Resultat]]=Stammdaten!$AX$19),Stammdaten!$AX$19,IF(ISNA(INDEX(INDIRECT(UK40),MATCH(BeweglichkeitGerundet[[#This Row],[Rundung]],INDIRECT(UK40),UK$18))),IF(UK$18=-1,LARGE(INDIRECT(UK40),1),SMALL(INDIRECT(UK40),1)),INDEX(INDIRECT(UK40),MATCH(BeweglichkeitGerundet[[#This Row],[Rundung]],INDIRECT(UK40),UK$18)))))</f>
        <v/>
      </c>
      <c r="UN40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0" s="36" t="str">
        <f ca="1">IF(OR(UK40="",BeweglichkeitSkalawert[[#This Row],[Skala-Wert]]=Stammdaten!$AX$19),"",INDEX(INDIRECT(UN40),MATCH(BeweglichkeitSkalawert[[#This Row],[Skala-Wert]],INDIRECT(UK40),0)))</f>
        <v/>
      </c>
      <c r="UP40" s="31"/>
      <c r="UQ40" s="597"/>
      <c r="UR40" s="190"/>
      <c r="US40" s="587">
        <f>IF(US$16,IF(UT$16=0.5,MROUND(RumpfkraftResultat[[#This Row],[Resultat]],UT$16),ROUND(RumpfkraftResultat[[#This Row],[Resultat]],UT$16)),ROUNDDOWN(RumpfkraftResultat[[#This Row],[Resultat]],UT$16))</f>
        <v>0</v>
      </c>
      <c r="UT40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0" s="192" t="str">
        <f ca="1">IF(UT40="","",IF(OR(RumpfkraftResultat[[#This Row],[Resultat]]=Stammdaten!$AX$22,RumpfkraftResultat[[#This Row],[Resultat]]=Stammdaten!$AX$19),Stammdaten!$AX$19,IF(ISNA(INDEX(INDIRECT(UT40),MATCH(RumpfkraftGerundet[[#This Row],[Rundung]],INDIRECT(UT40),UT$18))),IF(UT$18=-1,LARGE(INDIRECT(UT40),1),SMALL(INDIRECT(UT40),1)),INDEX(INDIRECT(UT40),MATCH(RumpfkraftGerundet[[#This Row],[Rundung]],INDIRECT(UT40),UT$18)))))</f>
        <v/>
      </c>
      <c r="UW40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0" s="36" t="str">
        <f ca="1">IF(OR(UT40="",RumpfkraftSkalawert[[#This Row],[Skala-Wert]]=Stammdaten!$AX$19),"",INDEX(INDIRECT(UW40),MATCH(RumpfkraftSkalawert[[#This Row],[Skala-Wert]],INDIRECT(UT40),0)))</f>
        <v/>
      </c>
      <c r="UY40" s="31"/>
      <c r="UZ40" s="190" t="str">
        <f>IF(SechzigmLaufResultat[[#This Row],[Resultat]]=0,"",SechzigmLaufResultat[[#This Row],[Resultat]])</f>
        <v/>
      </c>
      <c r="VA40" s="190"/>
      <c r="VB40" s="45" t="str">
        <f ca="1">SechzigmLaufSkalawert[[#This Row],[Skala-Wert]]</f>
        <v/>
      </c>
      <c r="VD40" s="31" t="str">
        <f ca="1">SechzigmLaufNote[[#This Row],[Note]]</f>
        <v/>
      </c>
      <c r="VE40" s="31"/>
      <c r="VF40" s="190" t="str">
        <f>IF(AchtzigmLaufResultat[[#This Row],[Resultat]]=0,"",AchtzigmLaufResultat[[#This Row],[Resultat]])</f>
        <v/>
      </c>
      <c r="VG40" s="190"/>
      <c r="VH40" s="45" t="str">
        <f ca="1">AchtzigmLaufSkalawert[[#This Row],[Skala-Wert]]</f>
        <v/>
      </c>
      <c r="VJ40" s="31" t="str">
        <f ca="1">AchtzigmLaufNote[[#This Row],[Note]]</f>
        <v/>
      </c>
      <c r="VK40" s="31"/>
      <c r="VL40" s="37"/>
      <c r="VM40" s="190"/>
      <c r="VN40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0" s="191" t="str">
        <f>IF(OR(Geschlecht[[#This Row],[Geschlecht (Skala)]]="",VL$16=""),"",MID(Geschlecht[[#This Row],[Geschlecht (Skala)]],1,1)&amp;MID(VL$16,1,1))</f>
        <v/>
      </c>
      <c r="VP40" s="190" t="str">
        <f>IF(OR(VO40="",KonditionsparcoursResultat[[#This Row],[Resultat]]=""),"",REPLACE(INDEX(StdDisziplinen[TabÜberschriftResultat],VL$3),FIND("X",INDEX(StdDisziplinen[TabÜberschriftResultat],VL$3),1),2,VO40))</f>
        <v/>
      </c>
      <c r="VQ40" s="192" t="str">
        <f ca="1">IF(VP40="","",IF(OR(KonditionsparcoursResultat[[#This Row],[Resultat]]=Stammdaten!$AX$22,KonditionsparcoursResultat[[#This Row],[Resultat]]=Stammdaten!$AX$19),Stammdaten!$AX$19,IF(ISNA(INDEX(INDIRECT(VP40),MATCH(KonditionsparcoursGerundet[[#This Row],[Rundung]],INDIRECT(VP40),VP$18))),IF(VP$18=-1,LARGE(INDIRECT(VP40),1),SMALL(INDIRECT(VP40),1)),INDEX(INDIRECT(VP40),MATCH(KonditionsparcoursGerundet[[#This Row],[Rundung]],INDIRECT(VP40),VP$18)))))</f>
        <v/>
      </c>
      <c r="VS40" s="18" t="str">
        <f ca="1">IF(KonditionsparcoursSkalawert[[#This Row],[Skala-Wert]]="","",REPLACE(INDEX(StdDisziplinen[TabÜberschriftNote],VL$3),FIND("X",INDEX(StdDisziplinen[TabÜberschriftNote],VL$3),1),2,VO40))</f>
        <v/>
      </c>
      <c r="VT40" s="31" t="str">
        <f ca="1">IF(OR(VS40="",KonditionsparcoursSkalawert[[#This Row],[Skala-Wert]]=Stammdaten!$AX$19),"",INDEX(INDIRECT(VS40),MATCH(KonditionsparcoursSkalawert[[#This Row],[Skala-Wert]],INDIRECT(VP40),0)))</f>
        <v/>
      </c>
      <c r="VU40" s="22"/>
    </row>
    <row r="41" spans="1:593" x14ac:dyDescent="0.3">
      <c r="A41" s="30">
        <v>23</v>
      </c>
      <c r="B41" s="589"/>
      <c r="C41" s="589"/>
      <c r="E41" s="591"/>
      <c r="G41" s="37"/>
      <c r="H41" s="190"/>
      <c r="I41" s="154">
        <f>IF(I$16,IF(J$16=0.5,MROUND(SechzigmLaufResultat[[#This Row],[Resultat]],J$16),ROUND(SechzigmLaufResultat[[#This Row],[Resultat]],J$16)),ROUNDDOWN(SechzigmLaufResultat[[#This Row],[Resultat]],J$16))</f>
        <v>0</v>
      </c>
      <c r="J41" s="191" t="str">
        <f>IF(OR(Geschlecht[[#This Row],[Geschlecht (Skala)]]="",G$16=""),"",MID(Geschlecht[[#This Row],[Geschlecht (Skala)]],1,1)&amp;MID(G$16,1,1))</f>
        <v/>
      </c>
      <c r="K41" s="190" t="str">
        <f>IF(OR(J41="",SechzigmLaufResultat[[#This Row],[Resultat]]=""),"",REPLACE(INDEX(StdDisziplinen[TabÜberschriftResultat],G$3),FIND("X",INDEX(StdDisziplinen[TabÜberschriftResultat],G$3),1),2,J41))</f>
        <v/>
      </c>
      <c r="L41" s="45" t="str">
        <f ca="1">IF(K41="","",IF(OR(SechzigmLaufResultat[[#This Row],[Resultat]]=Stammdaten!$AX$22,SechzigmLaufResultat[[#This Row],[Resultat]]=Stammdaten!$AX$19),Stammdaten!$AX$19,IF(ISNA(INDEX(INDIRECT(K41),MATCH(SechzigmLaufGerundet[[#This Row],[Rundung]],INDIRECT(K41),K$18))),IF(K$18=-1,LARGE(INDIRECT(K41),1),SMALL(INDIRECT(K41),1)),INDEX(INDIRECT(K41),MATCH(SechzigmLaufGerundet[[#This Row],[Rundung]],INDIRECT(K41),K$18)))))</f>
        <v/>
      </c>
      <c r="N41" s="18" t="str">
        <f ca="1">IF(SechzigmLaufSkalawert[[#This Row],[Skala-Wert]]="","",REPLACE(INDEX(StdDisziplinen[TabÜberschriftNote],G$3),FIND("X",INDEX(StdDisziplinen[TabÜberschriftNote],G$3),1),2,J41))</f>
        <v/>
      </c>
      <c r="O41" s="31" t="str">
        <f ca="1">IF(OR(N41="",SechzigmLaufSkalawert[[#This Row],[Skala-Wert]]=Stammdaten!$AX$19),"",INDEX(INDIRECT(N41),MATCH(SechzigmLaufSkalawert[[#This Row],[Skala-Wert]],INDIRECT(K41),0)))</f>
        <v/>
      </c>
      <c r="P41" s="31"/>
      <c r="Q41" s="37"/>
      <c r="R41" s="190"/>
      <c r="S41" s="154">
        <f>IF(S$16,IF(T$16=0.5,MROUND(AchtzigmLaufResultat[[#This Row],[Resultat]],T$16),ROUND(AchtzigmLaufResultat[[#This Row],[Resultat]],T$16)),ROUNDDOWN(AchtzigmLaufResultat[[#This Row],[Resultat]],T$16))</f>
        <v>0</v>
      </c>
      <c r="T41" s="191" t="str">
        <f>IF(OR(Geschlecht[[#This Row],[Geschlecht (Skala)]]="",Q$16=""),"",MID(Geschlecht[[#This Row],[Geschlecht (Skala)]],1,1)&amp;MID(Q$16,1,1))</f>
        <v/>
      </c>
      <c r="U41" s="190" t="str">
        <f>IF(OR(T41="",AchtzigmLaufResultat[[#This Row],[Resultat]]=""),"",REPLACE(INDEX(StdDisziplinen[TabÜberschriftResultat],Q$3),FIND("X",INDEX(StdDisziplinen[TabÜberschriftResultat],Q$3),1),2,T41))</f>
        <v/>
      </c>
      <c r="V41" s="45" t="str">
        <f ca="1">IF(U41="","",IF(OR(AchtzigmLaufResultat[[#This Row],[Resultat]]=Stammdaten!$AX$22,AchtzigmLaufResultat[[#This Row],[Resultat]]=Stammdaten!$AX$19),Stammdaten!$AX$19,IF(ISNA(INDEX(INDIRECT(U41),MATCH(AchtzigmLaufGerundet[[#This Row],[Rundung]],INDIRECT(U41),U$18))),IF(U$18=-1,LARGE(INDIRECT(U41),1),SMALL(INDIRECT(U41),1)),INDEX(INDIRECT(U41),MATCH(AchtzigmLaufGerundet[[#This Row],[Rundung]],INDIRECT(U41),U$18)))))</f>
        <v/>
      </c>
      <c r="X41" s="18" t="str">
        <f ca="1">IF(AchtzigmLaufSkalawert[[#This Row],[Skala-Wert]]="","",REPLACE(INDEX(StdDisziplinen[TabÜberschriftNote],Q$3),FIND("X",INDEX(StdDisziplinen[TabÜberschriftNote],Q$3),1),2,T41))</f>
        <v/>
      </c>
      <c r="Y41" s="31" t="str">
        <f ca="1">IF(OR(X41="",AchtzigmLaufSkalawert[[#This Row],[Skala-Wert]]=Stammdaten!$AX$19),"",INDEX(INDIRECT(X41),MATCH(AchtzigmLaufSkalawert[[#This Row],[Skala-Wert]],INDIRECT(U41),0)))</f>
        <v/>
      </c>
      <c r="Z41" s="31"/>
      <c r="AA41" s="37"/>
      <c r="AB41" s="190"/>
      <c r="AC41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1" s="191" t="str">
        <f>IF(OR(Geschlecht[[#This Row],[Geschlecht (Skala)]]="",AA$16=""),"",MID(Geschlecht[[#This Row],[Geschlecht (Skala)]],1,1)&amp;MID(AA$16,1,1))</f>
        <v/>
      </c>
      <c r="AE41" s="190" t="str">
        <f>IF(OR(AD41="",ZwölfMinLaufHalleResultat[[#This Row],[Resultat]]=""),"",REPLACE(INDEX(StdDisziplinen[TabÜberschriftResultat],AA$3),FIND("X",INDEX(StdDisziplinen[TabÜberschriftResultat],AA$3),1),2,AD41))</f>
        <v/>
      </c>
      <c r="AF41" s="31" t="str">
        <f ca="1">IF(AE41="","",IF(OR(ZwölfMinLaufHalleResultat[[#This Row],[Resultat]]=Stammdaten!$AX$22,ZwölfMinLaufHalleResultat[[#This Row],[Resultat]]=Stammdaten!$AX$19),Stammdaten!$AX$19,IF(ISNA(INDEX(INDIRECT(AE41),MATCH(ZwölfMinLaufHalleGerundet[[#This Row],[Rundung]],INDIRECT(AE41),AE$18))),IF(AE$18=-1,LARGE(INDIRECT(AE41),1),SMALL(INDIRECT(AE41),1)),INDEX(INDIRECT(AE41),MATCH(ZwölfMinLaufHalleGerundet[[#This Row],[Rundung]],INDIRECT(AE41),AE$18)))))</f>
        <v/>
      </c>
      <c r="AH41" s="18" t="str">
        <f ca="1">IF(ZwölfMinLaufHalleSkalawert[[#This Row],[Skala-Wert]]="","",REPLACE(INDEX(StdDisziplinen[TabÜberschriftNote],AA$3),FIND("X",INDEX(StdDisziplinen[TabÜberschriftNote],AA$3),1),2,AD41))</f>
        <v/>
      </c>
      <c r="AI41" s="31" t="str">
        <f ca="1">IF(OR(AH41="",ZwölfMinLaufHalleSkalawert[[#This Row],[Skala-Wert]]=Stammdaten!$AX$19),"",INDEX(INDIRECT(AH41),MATCH(ZwölfMinLaufHalleSkalawert[[#This Row],[Skala-Wert]],INDIRECT(AE41),0)))</f>
        <v/>
      </c>
      <c r="AJ41" s="31"/>
      <c r="AK41" s="597"/>
      <c r="AL41" s="190"/>
      <c r="AM41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1" s="191" t="str">
        <f>IF(OR(Geschlecht[[#This Row],[Geschlecht (Skala)]]="",AK$16=""),"",MID(Geschlecht[[#This Row],[Geschlecht (Skala)]],1,1)&amp;MID(AK$16,1,1))</f>
        <v/>
      </c>
      <c r="AO41" s="190" t="str">
        <f>IF(OR(AN41="",ZwölfMinLaufimFreienResultat[[#This Row],[Resultat]]=""),"",REPLACE(INDEX(StdDisziplinen[TabÜberschriftResultat],AK$3),FIND("X",INDEX(StdDisziplinen[TabÜberschriftResultat],AK$3),1),2,AN41))</f>
        <v/>
      </c>
      <c r="AP41" s="192" t="str">
        <f ca="1">IF(AO41="","",IF(OR(ZwölfMinLaufimFreienResultat[[#This Row],[Resultat]]=Stammdaten!$AX$22,ZwölfMinLaufimFreienResultat[[#This Row],[Resultat]]=Stammdaten!$AX$19),Stammdaten!$AX$19,IF(ISNA(INDEX(INDIRECT(AO41),MATCH(ZwölfMinLaufimFreienGerundet[[#This Row],[Rundung]],INDIRECT(AO41),AO$18))),IF(AO$18=-1,LARGE(INDIRECT(AO41),1),SMALL(INDIRECT(AO41),1)),INDEX(INDIRECT(AO41),MATCH(ZwölfMinLaufimFreienGerundet[[#This Row],[Rundung]],INDIRECT(AO41),AO$18)))))</f>
        <v/>
      </c>
      <c r="AR41" s="18" t="str">
        <f ca="1">IF(ZwölfMinLaufimFreienSkalawert[[#This Row],[Skala-Wert]]="","",REPLACE(INDEX(StdDisziplinen[TabÜberschriftNote],AK$3),FIND("X",INDEX(StdDisziplinen[TabÜberschriftNote],AK$3),1),2,AN41))</f>
        <v/>
      </c>
      <c r="AS41" s="31" t="str">
        <f ca="1">IF(OR(AR41="",ZwölfMinLaufimFreienSkalawert[[#This Row],[Skala-Wert]]=Stammdaten!$AX$19),"",INDEX(INDIRECT(AR41),MATCH(ZwölfMinLaufimFreienSkalawert[[#This Row],[Skala-Wert]],INDIRECT(AO41),0)))</f>
        <v/>
      </c>
      <c r="AT41" s="31"/>
      <c r="AU41" s="597"/>
      <c r="AV41" s="190"/>
      <c r="AW41" s="587">
        <f>IF(AW$16,IF(AX$16=0.5,MROUND(HochsprungResultat[[#This Row],[Resultat]],AX$16),ROUND(HochsprungResultat[[#This Row],[Resultat]],AX$16)),ROUNDDOWN(HochsprungResultat[[#This Row],[Resultat]],AX$16))</f>
        <v>0</v>
      </c>
      <c r="AX41" s="191" t="str">
        <f>IF(OR(Geschlecht[[#This Row],[Geschlecht (Skala)]]="",AU$16=""),"",MID(Geschlecht[[#This Row],[Geschlecht (Skala)]],1,1)&amp;MID(AU$16,1,1))</f>
        <v/>
      </c>
      <c r="AY41" s="190" t="str">
        <f>IF(OR(AX41="",HochsprungResultat[[#This Row],[Resultat]]=""),"",REPLACE(INDEX(StdDisziplinen[TabÜberschriftResultat],AU$3),FIND("X",INDEX(StdDisziplinen[TabÜberschriftResultat],AU$3),1),2,AX41))</f>
        <v/>
      </c>
      <c r="AZ41" s="192" t="str">
        <f ca="1">IF(AY41="","",IF(OR(HochsprungResultat[[#This Row],[Resultat]]=Stammdaten!$AX$22,HochsprungResultat[[#This Row],[Resultat]]=Stammdaten!$AX$19),Stammdaten!$AX$19,IF(ISNA(INDEX(INDIRECT(AY41),MATCH(HochsprungGerundet[[#This Row],[Rundung]],INDIRECT(AY41),AY$18))),IF(AY$18=-1,LARGE(INDIRECT(AY41),1),SMALL(INDIRECT(AY41),1)),INDEX(INDIRECT(AY41),MATCH(HochsprungGerundet[[#This Row],[Rundung]],INDIRECT(AY41),AY$18)))))</f>
        <v/>
      </c>
      <c r="BB41" s="18" t="str">
        <f ca="1">IF(HochsprungSkalawert[[#This Row],[Skala-Wert]]="","",REPLACE(INDEX(StdDisziplinen[TabÜberschriftNote],AU$3),FIND("X",INDEX(StdDisziplinen[TabÜberschriftNote],AU$3),1),2,AX41))</f>
        <v/>
      </c>
      <c r="BC41" s="31" t="str">
        <f ca="1">IF(OR(BB41="",HochsprungSkalawert[[#This Row],[Skala-Wert]]=Stammdaten!$AX$19),"",INDEX(INDIRECT(BB41),MATCH(HochsprungSkalawert[[#This Row],[Skala-Wert]],INDIRECT(AY41),0)))</f>
        <v/>
      </c>
      <c r="BD41" s="31"/>
      <c r="BE41" s="597"/>
      <c r="BF41" s="190"/>
      <c r="BG41" s="587">
        <f>IF(BG$16,IF(BH$16=0.5,MROUND(WeitsprungResultat[[#This Row],[Resultat]],BH$16),ROUND(WeitsprungResultat[[#This Row],[Resultat]],BH$16)),ROUNDDOWN(WeitsprungResultat[[#This Row],[Resultat]],BH$16))</f>
        <v>0</v>
      </c>
      <c r="BH41" s="191" t="str">
        <f>IF(OR(Geschlecht[[#This Row],[Geschlecht (Skala)]]="",BE$16=""),"",MID(Geschlecht[[#This Row],[Geschlecht (Skala)]],1,1)&amp;MID(BE$16,1,1))</f>
        <v/>
      </c>
      <c r="BI41" s="190" t="str">
        <f>IF(OR(BH41="",WeitsprungResultat[[#This Row],[Resultat]]=""),"",REPLACE(INDEX(StdDisziplinen[TabÜberschriftResultat],BE$3),FIND("X",INDEX(StdDisziplinen[TabÜberschriftResultat],BE$3),1),2,BH41))</f>
        <v/>
      </c>
      <c r="BJ41" s="192" t="str">
        <f ca="1">IF(BI41="","",IF(OR(WeitsprungResultat[[#This Row],[Resultat]]=Stammdaten!$AX$22,WeitsprungResultat[[#This Row],[Resultat]]=Stammdaten!$AX$19),Stammdaten!$AX$19,IF(ISNA(INDEX(INDIRECT(BI41),MATCH(WeitsprungGerundet[[#This Row],[Rundung]],INDIRECT(BI41),BI$18))),IF(BI$18=-1,LARGE(INDIRECT(BI41),1),SMALL(INDIRECT(BI41),1)),INDEX(INDIRECT(BI41),MATCH(WeitsprungGerundet[[#This Row],[Rundung]],INDIRECT(BI41),BI$18)))))</f>
        <v/>
      </c>
      <c r="BL41" s="18" t="str">
        <f ca="1">IF(WeitsprungSkalawert[[#This Row],[Skala-Wert]]="","",REPLACE(INDEX(StdDisziplinen[TabÜberschriftNote],BE$3),FIND("X",INDEX(StdDisziplinen[TabÜberschriftNote],BE$3),1),2,BH41))</f>
        <v/>
      </c>
      <c r="BM41" s="31" t="str">
        <f ca="1">IF(OR(BL41="",WeitsprungSkalawert[[#This Row],[Skala-Wert]]=Stammdaten!$AX$19),"",INDEX(INDIRECT(BL41),MATCH(WeitsprungSkalawert[[#This Row],[Skala-Wert]],INDIRECT(BI41),0)))</f>
        <v/>
      </c>
      <c r="BN41" s="31"/>
      <c r="BO41" s="37"/>
      <c r="BP41" s="190"/>
      <c r="BQ41" s="154">
        <f>IF(BQ$16,IF(BR$16=0.5,MROUND(BallwurfResultat[[#This Row],[Resultat]],BR$16),ROUND(BallwurfResultat[[#This Row],[Resultat]],BR$16)),ROUNDDOWN(BallwurfResultat[[#This Row],[Resultat]],BR$16))</f>
        <v>0</v>
      </c>
      <c r="BR41" s="191" t="str">
        <f>IF(OR(Geschlecht[[#This Row],[Geschlecht (Skala)]]="",BO$16=""),"",MID(Geschlecht[[#This Row],[Geschlecht (Skala)]],1,1)&amp;MID(BO$16,1,1))</f>
        <v/>
      </c>
      <c r="BS41" s="190" t="str">
        <f>IF(OR(BR41="",BallwurfResultat[[#This Row],[Resultat]]=""),"",REPLACE(INDEX(StdDisziplinen[TabÜberschriftResultat],BO$3),FIND("X",INDEX(StdDisziplinen[TabÜberschriftResultat],BO$3),1),2,BR41))</f>
        <v/>
      </c>
      <c r="BT41" s="45" t="str">
        <f ca="1">IF(BS41="","",IF(OR(BallwurfResultat[[#This Row],[Resultat]]=Stammdaten!$AX$22,BallwurfResultat[[#This Row],[Resultat]]=Stammdaten!$AX$19),Stammdaten!$AX$19,IF(ISNA(INDEX(INDIRECT(BS41),MATCH(BallwurfGerundet[[#This Row],[Rundung]],INDIRECT(BS41),BS$18))),IF(BS$18=-1,LARGE(INDIRECT(BS41),1),SMALL(INDIRECT(BS41),1)),INDEX(INDIRECT(BS41),MATCH(BallwurfGerundet[[#This Row],[Rundung]],INDIRECT(BS41),BS$18)))))</f>
        <v/>
      </c>
      <c r="BV41" s="18" t="str">
        <f ca="1">IF(BallwurfSkalawert[[#This Row],[Skala-Wert]]="","",REPLACE(INDEX(StdDisziplinen[TabÜberschriftNote],BO$3),FIND("X",INDEX(StdDisziplinen[TabÜberschriftNote],BO$3),1),2,BR41))</f>
        <v/>
      </c>
      <c r="BW41" s="31" t="str">
        <f ca="1">IF(OR(BV41="",BallwurfSkalawert[[#This Row],[Skala-Wert]]=Stammdaten!$AX$19),"",INDEX(INDIRECT(BV41),MATCH(BallwurfSkalawert[[#This Row],[Skala-Wert]],INDIRECT(BS41),0)))</f>
        <v/>
      </c>
      <c r="BX41" s="31"/>
      <c r="BY41" s="598"/>
      <c r="BZ41" s="190"/>
      <c r="CA41" s="154">
        <f>IF(CA$16,IF(CB$16=0.5,MROUND(KugelstossenResultat[[#This Row],[Resultat]],CB$16),ROUND(KugelstossenResultat[[#This Row],[Resultat]],CB$16)),ROUNDDOWN(KugelstossenResultat[[#This Row],[Resultat]],CB$16))</f>
        <v>0</v>
      </c>
      <c r="CB41" s="191" t="str">
        <f>IF(OR(Geschlecht[[#This Row],[Geschlecht (Skala)]]="",BY$16=""),"",MID(Geschlecht[[#This Row],[Geschlecht (Skala)]],1,1)&amp;MID(BY$16,1,1))</f>
        <v/>
      </c>
      <c r="CC41" s="190" t="str">
        <f>IF(OR(CB41="",KugelstossenResultat[[#This Row],[Resultat]]=""),"",REPLACE(INDEX(StdDisziplinen[TabÜberschriftResultat],BY$3),FIND("X",INDEX(StdDisziplinen[TabÜberschriftResultat],BY$3),1),2,CB41))</f>
        <v/>
      </c>
      <c r="CD41" s="45" t="str">
        <f ca="1">IF(CC41="","",IF(OR(KugelstossenResultat[[#This Row],[Resultat]]=Stammdaten!$AX$22,KugelstossenResultat[[#This Row],[Resultat]]=Stammdaten!$AX$19),Stammdaten!$AX$19,IF(ISNA(INDEX(INDIRECT(CC41),MATCH(KugelstossenGerundet[[#This Row],[Rundung]],INDIRECT(CC41),CC$18))),IF(CC$18=-1,LARGE(INDIRECT(CC41),1),SMALL(INDIRECT(CC41),1)),INDEX(INDIRECT(CC41),MATCH(KugelstossenGerundet[[#This Row],[Rundung]],INDIRECT(CC41),CC$18)))))</f>
        <v/>
      </c>
      <c r="CF41" s="18" t="str">
        <f ca="1">IF(KugelstossenSkalawert[[#This Row],[Skala-Wert]]="","",REPLACE(INDEX(StdDisziplinen[TabÜberschriftNote],BY$3),FIND("X",INDEX(StdDisziplinen[TabÜberschriftNote],BY$3),1),2,CB41))</f>
        <v/>
      </c>
      <c r="CG41" s="31" t="str">
        <f ca="1">IF(OR(CF41="",KugelstossenSkalawert[[#This Row],[Skala-Wert]]=Stammdaten!$AX$19),"",INDEX(INDIRECT(CF41),MATCH(KugelstossenSkalawert[[#This Row],[Skala-Wert]],INDIRECT(CC41),0)))</f>
        <v/>
      </c>
      <c r="CH41" s="31"/>
      <c r="CI41" s="37"/>
      <c r="CJ41" s="190"/>
      <c r="CK41" s="154">
        <f>IF(CK$16,IF(CL$16=0.5,MROUND(SpeerwurfResultat[[#This Row],[Resultat]],CL$16),ROUND(SpeerwurfResultat[[#This Row],[Resultat]],CL$16)),ROUNDDOWN(SpeerwurfResultat[[#This Row],[Resultat]],CL$16))</f>
        <v>0</v>
      </c>
      <c r="CL41" s="191" t="str">
        <f>IF(OR(Geschlecht[[#This Row],[Geschlecht (Skala)]]="",CI$16=""),"",MID(Geschlecht[[#This Row],[Geschlecht (Skala)]],1,1)&amp;MID(CI$16,1,1))</f>
        <v/>
      </c>
      <c r="CM41" s="190" t="str">
        <f>IF(OR(CL41="",SpeerwurfResultat[[#This Row],[Resultat]]=""),"",REPLACE(INDEX(StdDisziplinen[TabÜberschriftResultat],CI$3),FIND("X",INDEX(StdDisziplinen[TabÜberschriftResultat],CI$3),1),2,CL41))</f>
        <v/>
      </c>
      <c r="CN41" s="45" t="str">
        <f ca="1">IF(CM41="","",IF(OR(SpeerwurfResultat[[#This Row],[Resultat]]=Stammdaten!$AX$22,SpeerwurfResultat[[#This Row],[Resultat]]=Stammdaten!$AX$19),Stammdaten!$AX$19,IF(ISNA(INDEX(INDIRECT(CM41),MATCH(SpeerwurfGerundet[[#This Row],[Rundung]],INDIRECT(CM41),CM$18))),IF(CM$18=-1,LARGE(INDIRECT(CM41),1),SMALL(INDIRECT(CM41),1)),INDEX(INDIRECT(CM41),MATCH(SpeerwurfGerundet[[#This Row],[Rundung]],INDIRECT(CM41),CM$18)))))</f>
        <v/>
      </c>
      <c r="CP41" s="18" t="str">
        <f ca="1">IF(SpeerwurfSkalawert[[#This Row],[Skala-Wert]]="","",REPLACE(INDEX(StdDisziplinen[TabÜberschriftNote],CI$3),FIND("X",INDEX(StdDisziplinen[TabÜberschriftNote],CI$3),1),2,CL41))</f>
        <v/>
      </c>
      <c r="CQ41" s="31" t="str">
        <f ca="1">IF(OR(CP41="",SpeerwurfSkalawert[[#This Row],[Skala-Wert]]=Stammdaten!$AX$19),"",INDEX(INDIRECT(CP41),MATCH(SpeerwurfSkalawert[[#This Row],[Skala-Wert]],INDIRECT(CM41),0)))</f>
        <v/>
      </c>
      <c r="CR41" s="31"/>
      <c r="CS41" s="31" t="str">
        <f t="shared" ca="1" si="50"/>
        <v/>
      </c>
      <c r="CT41" s="31" t="str">
        <f t="shared" ca="1" si="50"/>
        <v/>
      </c>
      <c r="CU41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Row],[Skala-Wert]])&gt;0,MAX(CS41:CT41),99))</f>
        <v>Keine Note</v>
      </c>
      <c r="CV41" s="202" t="str">
        <f t="shared" ca="1" si="51"/>
        <v/>
      </c>
      <c r="CW41" s="202" t="str">
        <f ca="1">IF(CV41=$A$2,CS$10&amp;Stammdaten!$AX$25,IF(CU41=INDEX(StdFehler[],3),CS$10&amp;Stammdaten!$AX$27,INDEX(INDIRECT($B$4),MATCH(CV41,INDIRECT($B$5),0))))</f>
        <v>Sprintdisziplinen nicht durchgeführt</v>
      </c>
      <c r="CX41" s="202" t="str">
        <f ca="1">IFERROR(INDEX(INDIRECT(CX$12),MATCH(CV41,StdDisziplinen[ID],0)),"")</f>
        <v/>
      </c>
      <c r="CY41" s="202" t="e">
        <f t="shared" ca="1" si="52"/>
        <v>#N/A</v>
      </c>
      <c r="CZ41" s="202" t="e">
        <f t="shared" ca="1" si="53"/>
        <v>#N/A</v>
      </c>
      <c r="DA41" s="98" t="str">
        <f t="shared" ca="1" si="223"/>
        <v/>
      </c>
      <c r="DB41" s="202" t="e">
        <f t="shared" ca="1" si="54"/>
        <v>#N/A</v>
      </c>
      <c r="DC41" s="202" t="str">
        <f t="shared" ca="1" si="55"/>
        <v/>
      </c>
      <c r="DD41" s="31" t="str">
        <f t="shared" ca="1" si="56"/>
        <v/>
      </c>
      <c r="DE41" s="31" t="str">
        <f t="shared" ca="1" si="56"/>
        <v/>
      </c>
      <c r="DF41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Row],[Skala-Wert]])&gt;0,MAX(DD41:DE41),99))</f>
        <v>Keine Note</v>
      </c>
      <c r="DG41" s="202" t="str">
        <f t="shared" ca="1" si="57"/>
        <v/>
      </c>
      <c r="DH41" s="202" t="str">
        <f ca="1">IF(DG41=$A$2,DD$10&amp;Stammdaten!$AX$25,IF(DF41=INDEX(StdFehler[],3),DD$10&amp;Stammdaten!$AX$27,INDEX(INDIRECT($B$4),MATCH(DG41,INDIRECT($B$5),0))))</f>
        <v>Ausdauerdisziplinen nicht durchgeführt</v>
      </c>
      <c r="DI41" s="202" t="str">
        <f ca="1">IFERROR(INDEX(INDIRECT(DI$12),MATCH(DG41,StdDisziplinen[ID],0)),"")</f>
        <v/>
      </c>
      <c r="DJ41" s="202" t="e">
        <f t="shared" ca="1" si="58"/>
        <v>#N/A</v>
      </c>
      <c r="DK41" s="202" t="e">
        <f t="shared" ca="1" si="59"/>
        <v>#N/A</v>
      </c>
      <c r="DL41" s="96" t="str">
        <f t="shared" ca="1" si="60"/>
        <v/>
      </c>
      <c r="DM41" s="202" t="e">
        <f t="shared" ca="1" si="61"/>
        <v>#N/A</v>
      </c>
      <c r="DN41" s="202" t="str">
        <f t="shared" ca="1" si="62"/>
        <v/>
      </c>
      <c r="DO41" s="31" t="str">
        <f t="shared" ca="1" si="63"/>
        <v/>
      </c>
      <c r="DP41" s="31" t="str">
        <f t="shared" ca="1" si="63"/>
        <v/>
      </c>
      <c r="DQ41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Row],[Skala-Wert]])&gt;0,MAX(DO41:DP41),99))</f>
        <v>Keine Note</v>
      </c>
      <c r="DR41" s="202" t="str">
        <f t="shared" ca="1" si="64"/>
        <v/>
      </c>
      <c r="DS41" s="202" t="str">
        <f ca="1">IF(DR41=$A$2,DO$10&amp;Stammdaten!$AX$25,IF(DQ41=INDEX(StdFehler[],3),DO$10&amp;Stammdaten!$AX$27,INDEX(INDIRECT($B$4),MATCH(DR41,INDIRECT($B$5),0))))</f>
        <v>Sprungdisziplinen nicht durchgeführt</v>
      </c>
      <c r="DT41" s="202" t="str">
        <f ca="1">IFERROR(INDEX(INDIRECT(DT$12),MATCH(DR41,StdDisziplinen[ID],0)),"")</f>
        <v/>
      </c>
      <c r="DU41" s="202" t="e">
        <f t="shared" ca="1" si="65"/>
        <v>#N/A</v>
      </c>
      <c r="DV41" s="202" t="e">
        <f t="shared" ca="1" si="66"/>
        <v>#N/A</v>
      </c>
      <c r="DW41" s="202" t="str">
        <f t="shared" ca="1" si="67"/>
        <v/>
      </c>
      <c r="DX41" s="202" t="e">
        <f t="shared" ca="1" si="68"/>
        <v>#N/A</v>
      </c>
      <c r="DY41" s="202" t="str">
        <f t="shared" ca="1" si="69"/>
        <v/>
      </c>
      <c r="DZ41" s="31" t="str">
        <f ca="1">IF(BallwurfSkalawert[[#This Row],[Skala-Wert]]=$A$3,$A$2,IF(ISNUMBER(BallwurfSkalawert[[#This Row],[Skala-Wert]]),BallwurfNote[[#This Row],[Note]],"!"))</f>
        <v>!</v>
      </c>
      <c r="EA41" s="31" t="str">
        <f ca="1">IF(KugelstossenSkalawert[[#This Row],[Skala-Wert]]=$A$3,$A$2,IF(ISNUMBER(KugelstossenSkalawert[[#This Row],[Skala-Wert]]),KugelstossenNote[[#This Row],[Note]],"!"))</f>
        <v>!</v>
      </c>
      <c r="EB41" s="31" t="str">
        <f ca="1">IF(SpeerwurfSkalawert[[#This Row],[Skala-Wert]]=$A$3,$A$2,IF(ISNUMBER(SpeerwurfSkalawert[[#This Row],[Skala-Wert]]),SpeerwurfNote[[#This Row],[Note]],"!"))</f>
        <v>!</v>
      </c>
      <c r="EC41" s="95" t="str">
        <f ca="1">IF(ED41&gt;0,MAX(DZ41:EB41),IF(EE41&gt;0,99,INDEX(StdFehler[StdFehler],3)))</f>
        <v>Keine Note</v>
      </c>
      <c r="ED41" s="202">
        <f t="shared" ca="1" si="70"/>
        <v>0</v>
      </c>
      <c r="EE41" s="202">
        <f t="shared" ca="1" si="71"/>
        <v>0</v>
      </c>
      <c r="EF41" s="202" t="str">
        <f t="shared" ca="1" si="72"/>
        <v/>
      </c>
      <c r="EG41" s="202" t="str">
        <f ca="1">IF(EF41=$A$2,DZ$10&amp;Stammdaten!$AX$25,IF(EC41=INDEX(StdFehler[],3),DZ$10&amp;Stammdaten!$AX$27,INDEX(INDIRECT($B$4),MATCH(EF41,INDIRECT($B$5),0))))</f>
        <v>Wurfdisziplinen nicht durchgeführt</v>
      </c>
      <c r="EH41" s="202" t="str">
        <f ca="1">IFERROR(INDEX(INDIRECT(EH$12),MATCH(EF41,StdDisziplinen[ID],0)),"")</f>
        <v/>
      </c>
      <c r="EI41" s="202" t="e">
        <f t="shared" ca="1" si="73"/>
        <v>#N/A</v>
      </c>
      <c r="EJ41" s="202" t="e">
        <f t="shared" ca="1" si="74"/>
        <v>#N/A</v>
      </c>
      <c r="EK41" s="98" t="str">
        <f t="shared" ca="1" si="75"/>
        <v/>
      </c>
      <c r="EL41" s="202" t="e">
        <f t="shared" ca="1" si="76"/>
        <v>#N/A</v>
      </c>
      <c r="EM41" s="202" t="str">
        <f t="shared" ca="1" si="77"/>
        <v/>
      </c>
      <c r="EN41" s="200">
        <f t="shared" ca="1" si="1"/>
        <v>0</v>
      </c>
      <c r="EO41" s="202">
        <f t="shared" ca="1" si="78"/>
        <v>0</v>
      </c>
      <c r="EP41" s="96">
        <f t="shared" ca="1" si="2"/>
        <v>0</v>
      </c>
      <c r="EQ41" s="96">
        <f t="shared" ca="1" si="3"/>
        <v>0</v>
      </c>
      <c r="ER41" s="96">
        <f t="shared" ca="1" si="4"/>
        <v>0</v>
      </c>
      <c r="ES41" s="96">
        <f t="shared" ca="1" si="5"/>
        <v>0</v>
      </c>
      <c r="ET41" s="202">
        <f t="shared" ca="1" si="79"/>
        <v>0</v>
      </c>
      <c r="EU41" s="202" t="str">
        <f ca="1">IF($EO41=$FA$4,Stammdaten!$AX$19,IF(COUNTIF($EP41:$ES41,0)&lt;&gt;0,INDEX(StdFehler[StdFehler],4),ROUND(SUM($ET41/$EN41)/$FC$4,0)*$FC$4))</f>
        <v>Zu wenige Noten</v>
      </c>
      <c r="EV41" s="202" t="str">
        <f t="shared" ca="1" si="6"/>
        <v>Zu wenige Noten</v>
      </c>
      <c r="EW41" s="202" t="str">
        <f t="shared" ca="1" si="80"/>
        <v>Zu wenige Noten</v>
      </c>
      <c r="EX41" s="202" t="str">
        <f t="shared" ca="1" si="80"/>
        <v>Zu wenige Noten</v>
      </c>
      <c r="EY41" s="202" t="str">
        <f t="shared" ca="1" si="80"/>
        <v>Zu wenige Noten</v>
      </c>
      <c r="EZ41" s="202" t="str">
        <f t="shared" ca="1" si="81"/>
        <v>Zu wenige Noten</v>
      </c>
      <c r="FA41" s="202" t="str">
        <f t="shared" ca="1" si="82"/>
        <v>Zu wenige Noten</v>
      </c>
      <c r="FB41" s="31"/>
      <c r="FC41" s="56" t="str">
        <f t="shared" ca="1" si="83"/>
        <v>Zu wenige Noten</v>
      </c>
      <c r="FD41" s="31"/>
      <c r="FE41" s="597"/>
      <c r="FF41" s="190"/>
      <c r="FJ41" s="31"/>
      <c r="FK41" s="597"/>
      <c r="FL41" s="190"/>
      <c r="FP41" s="31"/>
      <c r="FQ41" s="597"/>
      <c r="FR41" s="190"/>
      <c r="FV41" s="31"/>
      <c r="FW41" s="597"/>
      <c r="FX41" s="190"/>
      <c r="GB41" s="31"/>
      <c r="GC41" s="597"/>
      <c r="GD41" s="190"/>
      <c r="GF41" s="154"/>
      <c r="GH41" s="31"/>
      <c r="GI41" s="597"/>
      <c r="GJ41" s="190"/>
      <c r="GN41" s="45"/>
      <c r="GO41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1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1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1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1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1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1" s="202">
        <f t="shared" si="7"/>
        <v>0</v>
      </c>
      <c r="GV41" s="202">
        <f t="shared" si="8"/>
        <v>0</v>
      </c>
      <c r="GW41" s="202">
        <f t="shared" si="84"/>
        <v>0</v>
      </c>
      <c r="GX41" s="200" t="str">
        <f t="shared" si="85"/>
        <v>!</v>
      </c>
      <c r="GY41" s="200" t="str">
        <f t="shared" si="9"/>
        <v>!</v>
      </c>
      <c r="GZ41" s="200" t="str">
        <f t="shared" si="10"/>
        <v>!</v>
      </c>
      <c r="HA41" s="244" t="str">
        <f t="shared" si="86"/>
        <v>nd</v>
      </c>
      <c r="HB41" s="244" t="str">
        <f t="shared" si="87"/>
        <v>nd</v>
      </c>
      <c r="HC41" s="244" t="str">
        <f t="shared" si="88"/>
        <v>nd</v>
      </c>
      <c r="HD41" s="244" t="str">
        <f t="shared" si="89"/>
        <v>nd</v>
      </c>
      <c r="HE41" s="244" t="str">
        <f t="shared" si="90"/>
        <v>nd</v>
      </c>
      <c r="HF41" s="244" t="str">
        <f t="shared" si="91"/>
        <v>nd</v>
      </c>
      <c r="HG41" s="202" t="b">
        <f t="shared" si="92"/>
        <v>0</v>
      </c>
      <c r="HH41" s="202">
        <f t="shared" si="93"/>
        <v>1</v>
      </c>
      <c r="HI41" s="202">
        <f t="shared" si="94"/>
        <v>0</v>
      </c>
      <c r="HJ41" s="200" t="str">
        <f t="shared" si="95"/>
        <v/>
      </c>
      <c r="HK41" s="200" t="str">
        <f t="shared" si="96"/>
        <v/>
      </c>
      <c r="HL41" s="200">
        <f t="shared" si="97"/>
        <v>0</v>
      </c>
      <c r="HM41" s="202" t="str">
        <f t="shared" si="98"/>
        <v/>
      </c>
      <c r="HN41" s="200" t="str">
        <f t="shared" si="99"/>
        <v/>
      </c>
      <c r="HO41" s="200" t="str">
        <f t="shared" si="100"/>
        <v/>
      </c>
      <c r="HP41" s="200" t="str">
        <f t="shared" si="101"/>
        <v/>
      </c>
      <c r="HQ41" s="242" t="str">
        <f t="shared" si="102"/>
        <v/>
      </c>
      <c r="HR41" s="242" t="str">
        <f t="shared" si="103"/>
        <v/>
      </c>
      <c r="HS41" s="242" t="str">
        <f t="shared" si="104"/>
        <v/>
      </c>
      <c r="HT41" s="242" t="str">
        <f t="shared" ca="1" si="105"/>
        <v>Erstes Gerät</v>
      </c>
      <c r="HU41" s="242" t="str">
        <f ca="1">IF(HT41=$HS$12,Stammdaten!$AY$27,IF(HW41=$A$2,TRIM(Stammdaten!$AX$25),""))</f>
        <v>nicht durchgeführt</v>
      </c>
      <c r="HV41" s="242" t="str">
        <f t="shared" ca="1" si="106"/>
        <v/>
      </c>
      <c r="HW41" s="277" t="str">
        <f t="shared" si="11"/>
        <v/>
      </c>
      <c r="HX41" s="202" t="str">
        <f t="shared" si="107"/>
        <v/>
      </c>
      <c r="HY41" s="202" t="str">
        <f t="shared" ca="1" si="108"/>
        <v/>
      </c>
      <c r="HZ41" s="202" t="str">
        <f t="shared" ca="1" si="109"/>
        <v>StdDisziplinen[MaxTextSt]</v>
      </c>
      <c r="IA41" s="202" t="str">
        <f t="shared" ca="1" si="12"/>
        <v/>
      </c>
      <c r="IB41" s="202" t="b">
        <f t="shared" si="110"/>
        <v>0</v>
      </c>
      <c r="IC41" s="202" t="str">
        <f t="shared" si="111"/>
        <v/>
      </c>
      <c r="ID41" s="202" t="str">
        <f t="shared" si="112"/>
        <v/>
      </c>
      <c r="IE41" s="202" t="str">
        <f t="shared" si="113"/>
        <v/>
      </c>
      <c r="IF41" s="202" t="str">
        <f t="shared" si="114"/>
        <v/>
      </c>
      <c r="IG41" s="242" t="str">
        <f t="shared" si="115"/>
        <v/>
      </c>
      <c r="IH41" s="242" t="str">
        <f t="shared" si="116"/>
        <v/>
      </c>
      <c r="II41" s="242" t="str">
        <f t="shared" ca="1" si="13"/>
        <v>Zweites Gerät</v>
      </c>
      <c r="IJ41" s="242" t="str">
        <f ca="1">IF(II41=$IH$12,Stammdaten!$AY$27,IF(IL41=$A$2,TRIM(Stammdaten!$AX$25),""))</f>
        <v>nicht durchgeführt</v>
      </c>
      <c r="IK41" s="242" t="str">
        <f t="shared" ca="1" si="117"/>
        <v/>
      </c>
      <c r="IL41" s="200" t="str">
        <f t="shared" si="14"/>
        <v/>
      </c>
      <c r="IM41" s="202" t="str">
        <f t="shared" si="118"/>
        <v/>
      </c>
      <c r="IN41" s="202" t="str">
        <f t="shared" ca="1" si="119"/>
        <v/>
      </c>
      <c r="IO41" s="202" t="str">
        <f t="shared" ca="1" si="120"/>
        <v>StdDisziplinen[MaxTextSt]</v>
      </c>
      <c r="IP41" s="202" t="str">
        <f t="shared" ca="1" si="121"/>
        <v/>
      </c>
      <c r="IQ41" s="202" t="b">
        <f t="shared" si="122"/>
        <v>0</v>
      </c>
      <c r="IR41" s="242" t="str">
        <f t="shared" ca="1" si="15"/>
        <v>Drittes Gerät</v>
      </c>
      <c r="IS41" s="242" t="str">
        <f ca="1">IF(IR41=$IR$12,MID(Stammdaten!$AX$27,2,LEN(Stammdaten!$AX$27)),IF(IU41=$A$2,TRIM(Stammdaten!$AX$25),""))</f>
        <v>nicht durchgeführt</v>
      </c>
      <c r="IT41" s="242" t="str">
        <f t="shared" ca="1" si="16"/>
        <v/>
      </c>
      <c r="IU41" s="200" t="str">
        <f t="shared" si="17"/>
        <v/>
      </c>
      <c r="IV41" s="202" t="str">
        <f t="shared" si="123"/>
        <v/>
      </c>
      <c r="IW41" s="202" t="str">
        <f t="shared" ca="1" si="124"/>
        <v/>
      </c>
      <c r="IX41" s="202" t="str">
        <f t="shared" ca="1" si="125"/>
        <v>StdDisziplinen[MaxTextSt]</v>
      </c>
      <c r="IY41" s="202" t="str">
        <f t="shared" ca="1" si="18"/>
        <v/>
      </c>
      <c r="IZ41" s="200" t="str">
        <f>IF(NOT(GW41),INDEX(StdFehler[StdFehler],4),IF(COUNTIF(GX41:GZ41,$A$2)&gt;=$IZ$4,$A$3,SUM(GX41:GZ41)))</f>
        <v>Zu wenige Noten</v>
      </c>
      <c r="JA41" s="31"/>
      <c r="JB41" s="587" t="e">
        <f t="shared" si="19"/>
        <v>#VALUE!</v>
      </c>
      <c r="JC41" s="191" t="str">
        <f>IF(OR(Geschlecht[[#This Row],[Geschlecht (Skala)]]="",IZ41=""),"",MID(Geschlecht[[#This Row],[Geschlecht (Skala)]],1,1)&amp;MID($FE$16,1,1))</f>
        <v/>
      </c>
      <c r="JD41" s="190" t="str">
        <f>IF(OR(JC41="",IZ41=""),"",REPLACE(INDEX(StdDisziplinen[TabÜberschriftResultat],$FE$3),FIND("X",INDEX(StdDisziplinen[TabÜberschriftResultat],$FE$3),1),2,JC41))</f>
        <v/>
      </c>
      <c r="JE41" s="192" t="str">
        <f ca="1">IF(OR(JD41="",IZ41=Stammdaten!$AZ$5),"",IF(OR(IZ41=Stammdaten!$AX$22,IZ41=Stammdaten!$AX$19),Stammdaten!$AX$19,IF(ISNA(INDEX(INDIRECT(JD41),MATCH(GeräteturnenGerundet[[#This Row],[Rundung]],INDIRECT(JD41),$JD$16))),IF($JD$16=-1,LARGE(INDIRECT(JD41),1),SMALL(INDIRECT(JD41),1)),INDEX(INDIRECT(JD41),MATCH(GeräteturnenGerundet[[#This Row],[Rundung]],INDIRECT(JD41),$JD$16)))))</f>
        <v/>
      </c>
      <c r="JG41" s="18" t="str">
        <f ca="1">IF(GeräteturnenSkalawert[[#This Row],[Skala-Wert]]="","",REPLACE(INDEX(StdDisziplinen[TabÜberschriftNote],$FE$3),FIND("X",INDEX(StdDisziplinen[TabÜberschriftNote],$FE$3),1),2,JC41))</f>
        <v/>
      </c>
      <c r="JH41" s="45" t="str">
        <f ca="1">IF(OR(JG41="",GeräteturnenSkalawert[[#This Row],[Skala-Wert]]=Stammdaten!$AX$19),"",INDEX(INDIRECT(JG41),MATCH(GeräteturnenSkalawert[[#This Row],[Skala-Wert]],INDIRECT(JD41),0)))</f>
        <v/>
      </c>
      <c r="JI41" s="31"/>
      <c r="JJ41" s="597"/>
      <c r="JK41" s="190"/>
      <c r="JL41" s="587">
        <f>IF(JL$16,IF(JM$16=0.5,MROUND(ParkourResultat[[#This Row],[Resultat]],JM$16),ROUND(ParkourResultat[[#This Row],[Resultat]],JM$16)),ROUNDDOWN(ParkourResultat[[#This Row],[Resultat]],JM$16))</f>
        <v>0</v>
      </c>
      <c r="JM41" s="191" t="str">
        <f>IF(OR(Geschlecht[[#This Row],[Geschlecht (Skala)]]="",JJ$16=""),"",MID(Geschlecht[[#This Row],[Geschlecht (Skala)]],1,1)&amp;MID(JJ$16,1,1))</f>
        <v/>
      </c>
      <c r="JN41" s="190" t="str">
        <f>IF(OR(JM41="",ParkourResultat[[#This Row],[Resultat]]=""),"",REPLACE(INDEX(StdDisziplinen[TabÜberschriftResultat],JJ$3),FIND("X",INDEX(StdDisziplinen[TabÜberschriftResultat],JJ$3),1),2,JM41))</f>
        <v/>
      </c>
      <c r="JO41" s="192" t="str">
        <f ca="1">IF(JN41="","",IF(OR(ParkourResultat[[#This Row],[Resultat]]=Stammdaten!$AX$22,ParkourResultat[[#This Row],[Resultat]]=Stammdaten!$AX$19),Stammdaten!$AX$19,IF(ISNA(INDEX(INDIRECT(JN41),MATCH(ParkourGerundet[[#This Row],[Rundung]],INDIRECT(JN41),JN$18))),IF(JN$18=-1,LARGE(INDIRECT(JN41),1),SMALL(INDIRECT(JN41),1)),INDEX(INDIRECT(JN41),MATCH(ParkourGerundet[[#This Row],[Rundung]],INDIRECT(JN41),JN$18)))))</f>
        <v/>
      </c>
      <c r="JQ41" s="18" t="str">
        <f ca="1">IF(ParkourSkalawert[[#This Row],[Skala-Wert]]="","",REPLACE(INDEX(StdDisziplinen[TabÜberschriftNote],JJ$3),FIND("X",INDEX(StdDisziplinen[TabÜberschriftNote],JJ$3),1),2,JM41))</f>
        <v/>
      </c>
      <c r="JR41" s="31" t="str">
        <f ca="1">IF(OR(JQ41="",ParkourSkalawert[[#This Row],[Skala-Wert]]=Stammdaten!$AX$19),"",INDEX(INDIRECT(JQ41),MATCH(ParkourSkalawert[[#This Row],[Skala-Wert]],INDIRECT(JN41),0)))</f>
        <v/>
      </c>
      <c r="JS41" s="96"/>
      <c r="JT41" s="47" t="str">
        <f ca="1">IF(OR(ISNUMBER(ParkourSkalawert[[#This Row],[Skala-Wert]]),ParkourSkalawert[[#This Row],[Skala-Wert]]=$A$3),INDEX(INDIRECT($JU$1),MATCH($JJ$3,INDIRECT($B$5),0)),"")</f>
        <v/>
      </c>
      <c r="JU41" s="200" t="str">
        <f t="shared" ca="1" si="126"/>
        <v>StdDisziplinen[MaxTextSt]</v>
      </c>
      <c r="JV41" s="200" t="str">
        <f t="shared" ca="1" si="127"/>
        <v/>
      </c>
      <c r="JW41" s="98">
        <f ca="1">IF(GeräteturnenSkalawert[[#This Row],[Skala-Wert]]=$A$3,$A$2,IF(GeräteturnenNote[[#This Row],[Note]]="",0,GeräteturnenNote[[#This Row],[Note]]))</f>
        <v>0</v>
      </c>
      <c r="JX41" s="96">
        <f ca="1">IF(ParkourSkalawert[[#This Row],[Skala-Wert]]=$A$3,$A$2,IF(ParkourNote[[#This Row],[Note]]="",0,ParkourNote[[#This Row],[Note]]))</f>
        <v>0</v>
      </c>
      <c r="JY41" s="200">
        <f t="shared" ca="1" si="128"/>
        <v>0</v>
      </c>
      <c r="JZ41" s="200">
        <f t="shared" ca="1" si="129"/>
        <v>0</v>
      </c>
      <c r="KA41" s="202">
        <f t="shared" ca="1" si="130"/>
        <v>0</v>
      </c>
      <c r="KB41" s="98" t="str">
        <f t="shared" ca="1" si="20"/>
        <v>!</v>
      </c>
      <c r="KC41" s="98" t="str">
        <f t="shared" ca="1" si="21"/>
        <v>!</v>
      </c>
      <c r="KD41" s="202" t="str">
        <f ca="1">IF(NOT(KA41),INDEX(StdFehler[StdFehler],4),IF(JZ41=$KA$12,$A$3,IF(JW41=$A$2,JX41,IF(JX41=$A$2,JW41,CONCATENATE(JW41,", ",JX41)))))</f>
        <v>Zu wenige Noten</v>
      </c>
      <c r="KE41" s="202" t="str">
        <f t="shared" ca="1" si="131"/>
        <v>Zu wenige Noten</v>
      </c>
      <c r="KF41" s="31"/>
      <c r="KG41" s="56" t="str">
        <f ca="1">IF(NOT(KA41),INDEX(StdFehler[StdFehler],4),IF(JZ41=$KA$12,$A$3,ROUND(AVERAGE(KB41:KC41)/$KG$4,0)*$KG$4))</f>
        <v>Zu wenige Noten</v>
      </c>
      <c r="KH41" s="31"/>
      <c r="KI41" s="599"/>
      <c r="KJ41" s="190"/>
      <c r="KK41" s="586">
        <f>IF(KK$16,IF(KL$16=0.5,MROUND(TanzenResultat[[#This Row],[Resultat]],KL$16),ROUND(TanzenResultat[[#This Row],[Resultat]],KL$16)),ROUNDDOWN(TanzenResultat[[#This Row],[Resultat]],KL$16))</f>
        <v>0</v>
      </c>
      <c r="KL41" s="191" t="str">
        <f>IF(OR(Geschlecht[[#This Row],[Geschlecht (Skala)]]="",KI$16=""),"",MID(Geschlecht[[#This Row],[Geschlecht (Skala)]],1,1)&amp;MID(KI$16,1,1))</f>
        <v/>
      </c>
      <c r="KM41" s="190" t="str">
        <f>IF(OR(KL41="",TanzenResultat[[#This Row],[Resultat]]=""),"",REPLACE(INDEX(StdDisziplinen[TabÜberschriftResultat],KI$3),FIND("X",INDEX(StdDisziplinen[TabÜberschriftResultat],KI$3),1),2,KL41))</f>
        <v/>
      </c>
      <c r="KN41" s="31" t="str">
        <f ca="1">IF(KM41="","",IF(OR(TanzenResultat[[#This Row],[Resultat]]=Stammdaten!$AX$22,TanzenResultat[[#This Row],[Resultat]]=Stammdaten!$AX$19),Stammdaten!$AX$19,IF(ISNA(INDEX(INDIRECT(KM41),MATCH(TanzenGerundet[[#This Row],[Rundung]],INDIRECT(KM41),KM$18))),IF(KM$18=-1,LARGE(INDIRECT(KM41),1),SMALL(INDIRECT(KM41),1)),INDEX(INDIRECT(KM41),MATCH(TanzenGerundet[[#This Row],[Rundung]],INDIRECT(KM41),KM$18)))))</f>
        <v/>
      </c>
      <c r="KP41" s="18" t="str">
        <f ca="1">IF(TanzenSkalawert[[#This Row],[Skala-Wert]]="","",REPLACE(INDEX(StdDisziplinen[TabÜberschriftNote],KI$3),FIND("X",INDEX(StdDisziplinen[TabÜberschriftNote],KI$3),1),2,KL41))</f>
        <v/>
      </c>
      <c r="KQ41" s="45" t="str">
        <f ca="1">IF(OR(KP41="",TanzenSkalawert[[#This Row],[Skala-Wert]]=Stammdaten!$AX$19),"",INDEX(INDIRECT(KP41),MATCH(TanzenSkalawert[[#This Row],[Skala-Wert]],INDIRECT(KM41),0)))</f>
        <v/>
      </c>
      <c r="KR41" s="31"/>
      <c r="KS41" s="597"/>
      <c r="KT41" s="190"/>
      <c r="KU41" s="587">
        <f>IF(KU$16,IF(KV$16=0.5,MROUND(RopeSkippingResultat[[#This Row],[Resultat]],KV$16),ROUND(RopeSkippingResultat[[#This Row],[Resultat]],KV$16)),ROUNDDOWN(RopeSkippingResultat[[#This Row],[Resultat]],KV$16))</f>
        <v>0</v>
      </c>
      <c r="KV41" s="191" t="str">
        <f>IF(OR(Geschlecht[[#This Row],[Geschlecht (Skala)]]="",KS$16=""),"",MID(Geschlecht[[#This Row],[Geschlecht (Skala)]],1,1)&amp;MID(KS$16,1,1))</f>
        <v/>
      </c>
      <c r="KW41" s="190" t="str">
        <f>IF(OR(KV41="",RopeSkippingResultat[[#This Row],[Resultat]]=""),"",REPLACE(INDEX(StdDisziplinen[TabÜberschriftResultat],KS$3),FIND("X",INDEX(StdDisziplinen[TabÜberschriftResultat],KS$3),1),2,KV41))</f>
        <v/>
      </c>
      <c r="KX41" s="192" t="str">
        <f ca="1">IF(KW41="","",IF(OR(RopeSkippingResultat[[#This Row],[Resultat]]=Stammdaten!$AX$22,RopeSkippingResultat[[#This Row],[Resultat]]=Stammdaten!$AX$19),Stammdaten!$AX$19,IF(ISNA(INDEX(INDIRECT(KW41),MATCH(RopeSkippingGerundet[[#This Row],[Rundung]],INDIRECT(KW41),KW$18))),IF(KW$18=-1,LARGE(INDIRECT(KW41),1),SMALL(INDIRECT(KW41),1)),INDEX(INDIRECT(KW41),MATCH(RopeSkippingGerundet[[#This Row],[Rundung]],INDIRECT(KW41),KW$18)))))</f>
        <v/>
      </c>
      <c r="KZ41" s="18" t="str">
        <f ca="1">IF(RopeSkippingSkalawert[[#This Row],[Skala-Wert]]="","",REPLACE(INDEX(StdDisziplinen[TabÜberschriftNote],KS$3),FIND("X",INDEX(StdDisziplinen[TabÜberschriftNote],KS$3),1),2,KV41))</f>
        <v/>
      </c>
      <c r="LA41" s="45" t="str">
        <f ca="1">IF(OR(KZ41="",RopeSkippingSkalawert[[#This Row],[Skala-Wert]]=Stammdaten!$AX$19),"",INDEX(INDIRECT(KZ41),MATCH(RopeSkippingSkalawert[[#This Row],[Skala-Wert]],INDIRECT(KW41),0)))</f>
        <v/>
      </c>
      <c r="LB41" s="31"/>
      <c r="LC41" s="599"/>
      <c r="LD41" s="190"/>
      <c r="LE41" s="586">
        <f>IF(LE$16,IF(LF$16=0.5,MROUND(AerobicResultat[[#This Row],[Resultat]],LF$16),ROUND(AerobicResultat[[#This Row],[Resultat]],LF$16)),ROUNDDOWN(AerobicResultat[[#This Row],[Resultat]],LF$16))</f>
        <v>0</v>
      </c>
      <c r="LF41" s="191" t="str">
        <f>IF(OR(Geschlecht[[#This Row],[Geschlecht (Skala)]]="",LC$16=""),"",MID(Geschlecht[[#This Row],[Geschlecht (Skala)]],1,1)&amp;MID(LC$16,1,1))</f>
        <v/>
      </c>
      <c r="LG41" s="190" t="str">
        <f>IF(OR(LF41="",AerobicResultat[[#This Row],[Resultat]]=""),"",REPLACE(INDEX(StdDisziplinen[TabÜberschriftResultat],LC$3),FIND("X",INDEX(StdDisziplinen[TabÜberschriftResultat],LC$3),1),2,LF41))</f>
        <v/>
      </c>
      <c r="LH41" s="31" t="str">
        <f ca="1">IF(LG41="","",IF(OR(AerobicResultat[[#This Row],[Resultat]]=Stammdaten!$AX$22,AerobicResultat[[#This Row],[Resultat]]=Stammdaten!$AX$19),Stammdaten!$AX$19,IF(ISNA(INDEX(INDIRECT(LG41),MATCH(AerobicGerundet[[#This Row],[Rundung]],INDIRECT(LG41),LG$18))),IF(LG$18=-1,LARGE(INDIRECT(LG41),1),SMALL(INDIRECT(LG41),1)),INDEX(INDIRECT(LG41),MATCH(AerobicGerundet[[#This Row],[Rundung]],INDIRECT(LG41),LG$18)))))</f>
        <v/>
      </c>
      <c r="LJ41" s="18" t="str">
        <f ca="1">IF(AerobicSkalawert[[#This Row],[Skala-Wert]]="","",REPLACE(INDEX(StdDisziplinen[TabÜberschriftNote],LC$3),FIND("X",INDEX(StdDisziplinen[TabÜberschriftNote],LC$3),1),2,LF41))</f>
        <v/>
      </c>
      <c r="LK41" s="45" t="str">
        <f ca="1">IF(OR(LJ41="",AerobicSkalawert[[#This Row],[Skala-Wert]]=Stammdaten!$AX$19),"",INDEX(INDIRECT(LJ41),MATCH(AerobicSkalawert[[#This Row],[Skala-Wert]],INDIRECT(LG41),0)))</f>
        <v/>
      </c>
      <c r="LL41" s="31"/>
      <c r="LM41" s="45" t="str">
        <f ca="1">IF(TanzenSkalawert[[#This Row],[Skala-Wert]]=$A$3,$A$2,IF(ISNUMBER(TanzenSkalawert[[#This Row],[Skala-Wert]]),TanzenNote[[#This Row],[Note]],"!"))</f>
        <v>!</v>
      </c>
      <c r="LN41" s="45" t="str">
        <f ca="1">IF(RopeSkippingSkalawert[[#This Row],[Skala-Wert]]=$A$3,$A$2,IF(ISNUMBER(RopeSkippingSkalawert[[#This Row],[Skala-Wert]]),RopeSkippingNote[[#This Row],[Note]],"!"))</f>
        <v>!</v>
      </c>
      <c r="LO41" s="45" t="str">
        <f ca="1">IF(AerobicSkalawert[[#This Row],[Skala-Wert]]=$A$3,$A$2,IF(ISNUMBER(AerobicSkalawert[[#This Row],[Skala-Wert]]),AerobicNote[[#This Row],[Note]],"!"))</f>
        <v>!</v>
      </c>
      <c r="LP41" s="36">
        <f t="shared" ca="1" si="132"/>
        <v>0</v>
      </c>
      <c r="LQ41" s="36">
        <f t="shared" ca="1" si="133"/>
        <v>0</v>
      </c>
      <c r="LR41" s="244" t="str">
        <f t="shared" ca="1" si="22"/>
        <v>nd</v>
      </c>
      <c r="LS41" s="244" t="str">
        <f t="shared" ca="1" si="23"/>
        <v>nd</v>
      </c>
      <c r="LT41" s="244" t="str">
        <f t="shared" ca="1" si="24"/>
        <v>nd</v>
      </c>
      <c r="LU41" s="242" t="str">
        <f t="shared" ca="1" si="25"/>
        <v/>
      </c>
      <c r="LV41" s="242" t="str">
        <f t="shared" ca="1" si="134"/>
        <v/>
      </c>
      <c r="LW41" s="242" t="str">
        <f t="shared" ca="1" si="135"/>
        <v/>
      </c>
      <c r="LX41" s="242" t="str">
        <f ca="1">IF(LW41="",Stammdaten!$AM$4,INDEX(INDIRECT($B$4),MATCH($LW41,INDIRECT($B$5),0)))</f>
        <v>Darstellen und Tanzen</v>
      </c>
      <c r="LY41" s="242" t="str">
        <f ca="1">IF(LW41="",Stammdaten!$AY$27,IF(ISNUMBER(LU41),LX41,IF(ISNUMBER(LV41),TRIM(Stammdaten!$AX$25),"")))</f>
        <v>nicht durchgeführt</v>
      </c>
      <c r="LZ41" s="242" t="str">
        <f t="shared" ca="1" si="136"/>
        <v>Darstellen und Tanzen</v>
      </c>
      <c r="MA41" s="242" t="str">
        <f t="shared" ca="1" si="137"/>
        <v/>
      </c>
      <c r="MB41" s="242" t="str">
        <f t="shared" ca="1" si="26"/>
        <v>Darstellen und TanzenResultat[@Resultat]</v>
      </c>
      <c r="MC41" s="274" t="str">
        <f t="shared" ca="1" si="138"/>
        <v/>
      </c>
      <c r="MD41" s="242" t="str">
        <f t="shared" ca="1" si="139"/>
        <v>Darstellen und TanzenSkalawert[@[Skala-Wert]]</v>
      </c>
      <c r="ME41" s="274" t="str">
        <f t="shared" ca="1" si="140"/>
        <v/>
      </c>
      <c r="MF41" s="47" t="str">
        <f t="shared" ca="1" si="27"/>
        <v/>
      </c>
      <c r="MG41" s="200" t="str">
        <f t="shared" ca="1" si="141"/>
        <v>StdDisziplinen[MaxTextSt]</v>
      </c>
      <c r="MH41" s="200" t="str">
        <f t="shared" ca="1" si="142"/>
        <v/>
      </c>
      <c r="MI41" s="45"/>
      <c r="MJ41" s="98" t="str">
        <f ca="1">IF(LP41&gt;0,MAX(LM41:LO41),IF(LQ41&gt;0,$A$3,INDEX(StdFehler[StdFehler],4)))</f>
        <v>Zu wenige Noten</v>
      </c>
      <c r="MK41" s="45"/>
      <c r="ML41" s="37"/>
      <c r="MM41" s="190"/>
      <c r="MN41" s="586">
        <f>IF(MN$16,IF(MO$16=0.5,MROUND(BasketballResultat[[#This Row],[Resultat]],MO$16),ROUND(BasketballResultat[[#This Row],[Resultat]],MO$16)),ROUNDDOWN(BasketballResultat[[#This Row],[Resultat]],MO$16))</f>
        <v>0</v>
      </c>
      <c r="MO41" s="191" t="str">
        <f>IF(OR(Geschlecht[[#This Row],[Geschlecht (Skala)]]="",ML$16=""),"",MID(Geschlecht[[#This Row],[Geschlecht (Skala)]],1,1)&amp;MID(ML$16,1,1))</f>
        <v/>
      </c>
      <c r="MP41" s="190" t="str">
        <f>IF(OR(MO41="",BasketballResultat[[#This Row],[Resultat]]=""),"",REPLACE(INDEX(StdDisziplinen[TabÜberschriftResultat],ML$3),FIND("X",INDEX(StdDisziplinen[TabÜberschriftResultat],ML$3),1),2,MO41))</f>
        <v/>
      </c>
      <c r="MQ41" s="31" t="str">
        <f ca="1">IF(MP41="","",IF(OR(BasketballResultat[[#This Row],[Resultat]]=Stammdaten!$AX$22,BasketballResultat[[#This Row],[Resultat]]=Stammdaten!$AX$19),Stammdaten!$AX$19,IF(ISNA(INDEX(INDIRECT(MP41),MATCH(BasketballGerundet[[#This Row],[Rundung]],INDIRECT(MP41),MP$18))),IF(MP$18=-1,LARGE(INDIRECT(MP41),1),SMALL(INDIRECT(MP41),1)),INDEX(INDIRECT(MP41),MATCH(BasketballGerundet[[#This Row],[Rundung]],INDIRECT(MP41),MP$18)))))</f>
        <v/>
      </c>
      <c r="MS41" s="18" t="str">
        <f ca="1">IF(BasketballSkalawert[[#This Row],[Skala-Wert]]="","",REPLACE(INDEX(StdDisziplinen[TabÜberschriftNote],ML$3),FIND("X",INDEX(StdDisziplinen[TabÜberschriftNote],ML$3),1),2,MO41))</f>
        <v/>
      </c>
      <c r="MT41" s="31" t="str">
        <f ca="1">IF(OR(MS41="",BasketballSkalawert[[#This Row],[Skala-Wert]]=Stammdaten!$AX$19),"",INDEX(INDIRECT(MS41),MATCH(BasketballSkalawert[[#This Row],[Skala-Wert]],INDIRECT(MP41),0)))</f>
        <v/>
      </c>
      <c r="MU41" s="31"/>
      <c r="MV41" s="37"/>
      <c r="MW41" s="190"/>
      <c r="MX41" s="586">
        <f>IF(MX$16,IF(MY$16=0.5,MROUND(FussballResultat[[#This Row],[Resultat]],MY$16),ROUND(FussballResultat[[#This Row],[Resultat]],MY$16)),ROUNDDOWN(FussballResultat[[#This Row],[Resultat]],MY$16))</f>
        <v>0</v>
      </c>
      <c r="MY41" s="191" t="str">
        <f>IF(OR(Geschlecht[[#This Row],[Geschlecht (Skala)]]="",MV$16=""),"",MID(Geschlecht[[#This Row],[Geschlecht (Skala)]],1,1)&amp;MID(MV$16,1,1))</f>
        <v/>
      </c>
      <c r="MZ41" s="190" t="str">
        <f>IF(OR(MY41="",FussballResultat[[#This Row],[Resultat]]=""),"",REPLACE(INDEX(StdDisziplinen[TabÜberschriftResultat],MV$3),FIND("X",INDEX(StdDisziplinen[TabÜberschriftResultat],MV$3),1),2,MY41))</f>
        <v/>
      </c>
      <c r="NA41" s="31" t="str">
        <f ca="1">IF(MZ41="","",IF(OR(FussballResultat[[#This Row],[Resultat]]=Stammdaten!$AX$22,FussballResultat[[#This Row],[Resultat]]=Stammdaten!$AX$19),Stammdaten!$AX$19,IF(ISNA(INDEX(INDIRECT(MZ41),MATCH(FussballGerundet[[#This Row],[Rundung]],INDIRECT(MZ41),MZ$18))),IF(MZ$18=-1,LARGE(INDIRECT(MZ41),1),SMALL(INDIRECT(MZ41),1)),INDEX(INDIRECT(MZ41),MATCH(FussballGerundet[[#This Row],[Rundung]],INDIRECT(MZ41),MZ$18)))))</f>
        <v/>
      </c>
      <c r="NC41" s="18" t="str">
        <f ca="1">IF(FussballSkalawert[[#This Row],[Skala-Wert]]="","",REPLACE(INDEX(StdDisziplinen[TabÜberschriftNote],MV$3),FIND("X",INDEX(StdDisziplinen[TabÜberschriftNote],MV$3),1),2,MY41))</f>
        <v/>
      </c>
      <c r="ND41" s="31" t="str">
        <f ca="1">IF(OR(NC41="",FussballSkalawert[[#This Row],[Skala-Wert]]=Stammdaten!$AX$19),"",INDEX(INDIRECT(NC41),MATCH(FussballSkalawert[[#This Row],[Skala-Wert]],INDIRECT(MZ41),0)))</f>
        <v/>
      </c>
      <c r="NE41" s="31"/>
      <c r="NF41" s="37"/>
      <c r="NG41" s="190"/>
      <c r="NH41" s="586">
        <f>IF(NH$16,IF(NI$16=0.5,MROUND(HandballResultat[[#This Row],[Resultat]],NI$16),ROUND(HandballResultat[[#This Row],[Resultat]],NI$16)),ROUNDDOWN(HandballResultat[[#This Row],[Resultat]],NI$16))</f>
        <v>0</v>
      </c>
      <c r="NI41" s="191" t="str">
        <f>IF(OR(Geschlecht[[#This Row],[Geschlecht (Skala)]]="",NF$16=""),"",MID(Geschlecht[[#This Row],[Geschlecht (Skala)]],1,1)&amp;MID(NF$16,1,1))</f>
        <v/>
      </c>
      <c r="NJ41" s="190" t="str">
        <f>IF(OR(NI41="",HandballResultat[[#This Row],[Resultat]]=""),"",REPLACE(INDEX(StdDisziplinen[TabÜberschriftResultat],NF$3),FIND("X",INDEX(StdDisziplinen[TabÜberschriftResultat],NF$3),1),2,NI41))</f>
        <v/>
      </c>
      <c r="NK41" s="31" t="str">
        <f ca="1">IF(NJ41="","",IF(OR(HandballResultat[[#This Row],[Resultat]]=Stammdaten!$AX$22,HandballResultat[[#This Row],[Resultat]]=Stammdaten!$AX$19),Stammdaten!$AX$19,IF(ISNA(INDEX(INDIRECT(NJ41),MATCH(HandballGerundet[[#This Row],[Rundung]],INDIRECT(NJ41),NJ$18))),IF(NJ$18=-1,LARGE(INDIRECT(NJ41),1),SMALL(INDIRECT(NJ41),1)),INDEX(INDIRECT(NJ41),MATCH(HandballGerundet[[#This Row],[Rundung]],INDIRECT(NJ41),NJ$18)))))</f>
        <v/>
      </c>
      <c r="NM41" s="18" t="str">
        <f ca="1">IF(HandballSkalawert[[#This Row],[Skala-Wert]]="","",REPLACE(INDEX(StdDisziplinen[TabÜberschriftNote],NF$3),FIND("X",INDEX(StdDisziplinen[TabÜberschriftNote],NF$3),1),2,NI41))</f>
        <v/>
      </c>
      <c r="NN41" s="31" t="str">
        <f ca="1">IF(OR(NM41="",HandballSkalawert[[#This Row],[Skala-Wert]]=Stammdaten!$AX$19),"",INDEX(INDIRECT(NM41),MATCH(HandballSkalawert[[#This Row],[Skala-Wert]],INDIRECT(NJ41),0)))</f>
        <v/>
      </c>
      <c r="NO41" s="31"/>
      <c r="NP41" s="37"/>
      <c r="NQ41" s="190"/>
      <c r="NR41" s="586">
        <f>IF(NR$16,IF(NS$16=0.5,MROUND(UnihockeyResultat[[#This Row],[Resultat]],NS$16),ROUND(UnihockeyResultat[[#This Row],[Resultat]],NS$16)),ROUNDDOWN(UnihockeyResultat[[#This Row],[Resultat]],NS$16))</f>
        <v>0</v>
      </c>
      <c r="NS41" s="191" t="str">
        <f>IF(OR(Geschlecht[[#This Row],[Geschlecht (Skala)]]="",NP$16=""),"",MID(Geschlecht[[#This Row],[Geschlecht (Skala)]],1,1)&amp;MID(NP$16,1,1))</f>
        <v/>
      </c>
      <c r="NT41" s="190" t="str">
        <f>IF(OR(NS41="",UnihockeyResultat[[#This Row],[Resultat]]=""),"",REPLACE(INDEX(StdDisziplinen[TabÜberschriftResultat],NP$3),FIND("X",INDEX(StdDisziplinen[TabÜberschriftResultat],NP$3),1),2,NS41))</f>
        <v/>
      </c>
      <c r="NU41" s="31" t="str">
        <f ca="1">IF(NT41="","",IF(OR(UnihockeyResultat[[#This Row],[Resultat]]=Stammdaten!$AX$22,UnihockeyResultat[[#This Row],[Resultat]]=Stammdaten!$AX$19),Stammdaten!$AX$19,IF(ISNA(INDEX(INDIRECT(NT41),MATCH(UnihockeyGerundet[[#This Row],[Rundung]],INDIRECT(NT41),NT$18))),IF(NT$18=-1,LARGE(INDIRECT(NT41),1),SMALL(INDIRECT(NT41),1)),INDEX(INDIRECT(NT41),MATCH(UnihockeyGerundet[[#This Row],[Rundung]],INDIRECT(NT41),NT$18)))))</f>
        <v/>
      </c>
      <c r="NW41" s="18" t="str">
        <f ca="1">IF(UnihockeySkalawert[[#This Row],[Skala-Wert]]="","",REPLACE(INDEX(StdDisziplinen[TabÜberschriftNote],NP$3),FIND("X",INDEX(StdDisziplinen[TabÜberschriftNote],NP$3),1),2,NS41))</f>
        <v/>
      </c>
      <c r="NX41" s="31" t="str">
        <f ca="1">IF(OR(NW41="",UnihockeySkalawert[[#This Row],[Skala-Wert]]=Stammdaten!$AX$19),"",INDEX(INDIRECT(NW41),MATCH(UnihockeySkalawert[[#This Row],[Skala-Wert]],INDIRECT(NT41),0)))</f>
        <v/>
      </c>
      <c r="NY41" s="31"/>
      <c r="NZ41" s="597"/>
      <c r="OA41" s="190"/>
      <c r="OB41" s="587">
        <f>IF(OB$16,IF(OC$16=0.5,MROUND(VolleyballResultat[[#This Row],[Resultat]],OC$16),ROUND(VolleyballResultat[[#This Row],[Resultat]],OC$16)),ROUNDDOWN(VolleyballResultat[[#This Row],[Resultat]],OC$16))</f>
        <v>0</v>
      </c>
      <c r="OC41" s="191" t="str">
        <f>IF(OR(Geschlecht[[#This Row],[Geschlecht (Skala)]]="",NZ$16=""),"",MID(Geschlecht[[#This Row],[Geschlecht (Skala)]],1,1)&amp;MID(NZ$16,1,1))</f>
        <v/>
      </c>
      <c r="OD41" s="190" t="str">
        <f>IF(OR(OC41="",VolleyballResultat[[#This Row],[Resultat]]=""),"",REPLACE(INDEX(StdDisziplinen[TabÜberschriftResultat],NZ$3),FIND("X",INDEX(StdDisziplinen[TabÜberschriftResultat],NZ$3),1),2,OC41))</f>
        <v/>
      </c>
      <c r="OE41" s="192" t="str">
        <f ca="1">IF(OD41="","",IF(OR(VolleyballResultat[[#This Row],[Resultat]]=Stammdaten!$AX$22,VolleyballResultat[[#This Row],[Resultat]]=Stammdaten!$AX$19),Stammdaten!$AX$19,IF(ISNA(INDEX(INDIRECT(OD41),MATCH(VolleyballGerundet[[#This Row],[Rundung]],INDIRECT(OD41),OD$18))),IF(OD$18=-1,LARGE(INDIRECT(OD41),1),SMALL(INDIRECT(OD41),1)),INDEX(INDIRECT(OD41),MATCH(VolleyballGerundet[[#This Row],[Rundung]],INDIRECT(OD41),OD$18)))))</f>
        <v/>
      </c>
      <c r="OG41" s="18" t="str">
        <f ca="1">IF(VolleyballSkalawert[[#This Row],[Skala-Wert]]="","",REPLACE(INDEX(StdDisziplinen[TabÜberschriftNote],NZ$3),FIND("X",INDEX(StdDisziplinen[TabÜberschriftNote],NZ$3),1),2,OC41))</f>
        <v/>
      </c>
      <c r="OH41" s="31" t="str">
        <f ca="1">IF(OR(OG41="",VolleyballSkalawert[[#This Row],[Skala-Wert]]=Stammdaten!$AX$19),"",INDEX(INDIRECT(OG41),MATCH(VolleyballSkalawert[[#This Row],[Skala-Wert]],INDIRECT(OD41),0)))</f>
        <v/>
      </c>
      <c r="OI41" s="45"/>
      <c r="OJ41" s="31">
        <f ca="1">IF(BasketballSkalawert[[#This Row],[Skala-Wert]]=$A$3,$A$2,IF(BasketballNote[[#This Row],[Note]]="",0,BasketballNote[[#This Row],[Note]]))</f>
        <v>0</v>
      </c>
      <c r="OK41" s="31">
        <f ca="1">IF(FussballSkalawert[[#This Row],[Skala-Wert]]=$A$3,$A$2,IF(FussballNote[[#This Row],[Note]]="",0,FussballNote[[#This Row],[Note]]))</f>
        <v>0</v>
      </c>
      <c r="OL41" s="31">
        <f ca="1">IF(HandballSkalawert[[#This Row],[Skala-Wert]]=$A$3,$A$2,IF(HandballNote[[#This Row],[Note]]="",0,HandballNote[[#This Row],[Note]]))</f>
        <v>0</v>
      </c>
      <c r="OM41" s="31">
        <f ca="1">IF(UnihockeySkalawert[[#This Row],[Skala-Wert]]=$A$3,$A$2,IF(UnihockeyNote[[#This Row],[Note]]="",0,UnihockeyNote[[#This Row],[Note]]))</f>
        <v>0</v>
      </c>
      <c r="ON41" s="31">
        <f ca="1">IF(VolleyballSkalawert[[#This Row],[Skala-Wert]]=$A$3,$A$2,IF(VolleyballNote[[#This Row],[Note]]="",0,VolleyballNote[[#This Row],[Note]]))</f>
        <v>0</v>
      </c>
      <c r="OO41" s="202">
        <f t="shared" ca="1" si="28"/>
        <v>0</v>
      </c>
      <c r="OP41" s="202">
        <f t="shared" ca="1" si="29"/>
        <v>0</v>
      </c>
      <c r="OQ41" s="202">
        <f t="shared" ca="1" si="143"/>
        <v>0</v>
      </c>
      <c r="OR41" s="96" t="str">
        <f t="shared" ca="1" si="144"/>
        <v>!</v>
      </c>
      <c r="OS41" s="96" t="str">
        <f t="shared" ca="1" si="30"/>
        <v>!</v>
      </c>
      <c r="OT41" s="96" t="str">
        <f t="shared" ca="1" si="31"/>
        <v>!</v>
      </c>
      <c r="OU41" s="96" t="str">
        <f ca="1">IF(NOT(OQ41),INDEX(StdFehler[StdFehler],4),IF(COUNTIF(OR41:OT41,$A$2)&gt;=$OQ$13,$A$3,ROUND(AVERAGE(OR41:OT41)/$RX$4,0)*$RX$4))</f>
        <v>Zu wenige Noten</v>
      </c>
      <c r="OV41" s="244" t="str">
        <f t="shared" ca="1" si="145"/>
        <v>nd</v>
      </c>
      <c r="OW41" s="244" t="str">
        <f t="shared" ca="1" si="146"/>
        <v>nd</v>
      </c>
      <c r="OX41" s="244" t="str">
        <f t="shared" ca="1" si="147"/>
        <v>nd</v>
      </c>
      <c r="OY41" s="244" t="str">
        <f t="shared" ca="1" si="148"/>
        <v>nd</v>
      </c>
      <c r="OZ41" s="244" t="str">
        <f t="shared" ca="1" si="149"/>
        <v>nd</v>
      </c>
      <c r="PA41" s="202" t="b">
        <f t="shared" ca="1" si="150"/>
        <v>0</v>
      </c>
      <c r="PB41" s="202">
        <f t="shared" ca="1" si="151"/>
        <v>1</v>
      </c>
      <c r="PC41" s="202">
        <f t="shared" ca="1" si="152"/>
        <v>0</v>
      </c>
      <c r="PD41" s="96" t="str">
        <f t="shared" ca="1" si="153"/>
        <v/>
      </c>
      <c r="PE41" s="96" t="str">
        <f t="shared" ca="1" si="154"/>
        <v/>
      </c>
      <c r="PF41" s="200">
        <f t="shared" ca="1" si="155"/>
        <v>0</v>
      </c>
      <c r="PG41" s="202" t="str">
        <f t="shared" ca="1" si="156"/>
        <v/>
      </c>
      <c r="PH41" s="200" t="str">
        <f t="shared" ca="1" si="157"/>
        <v/>
      </c>
      <c r="PI41" s="200" t="str">
        <f t="shared" ca="1" si="158"/>
        <v/>
      </c>
      <c r="PJ41" s="200" t="str">
        <f t="shared" ca="1" si="159"/>
        <v/>
      </c>
      <c r="PK41" s="242" t="str">
        <f t="shared" ca="1" si="160"/>
        <v/>
      </c>
      <c r="PL41" s="242" t="str">
        <f t="shared" ca="1" si="161"/>
        <v/>
      </c>
      <c r="PM41" s="242" t="str">
        <f t="shared" ca="1" si="162"/>
        <v/>
      </c>
      <c r="PN41" s="242" t="str">
        <f t="shared" ca="1" si="163"/>
        <v>Erste Spielsportart</v>
      </c>
      <c r="PO41" s="242" t="str">
        <f ca="1">IF(PN41=$PM$11,Stammdaten!$AY$27,IF(PR41=$A$2,TRIM(Stammdaten!$AX$25),""))</f>
        <v>nicht durchgeführt</v>
      </c>
      <c r="PP41" s="242" t="str">
        <f t="shared" ca="1" si="164"/>
        <v/>
      </c>
      <c r="PQ41" s="202" t="str">
        <f t="shared" ca="1" si="165"/>
        <v>Erste SpielsportartResultat[@Resultat]</v>
      </c>
      <c r="PR41" s="98" t="str">
        <f t="shared" ca="1" si="166"/>
        <v/>
      </c>
      <c r="PS41" s="202" t="str">
        <f t="shared" ca="1" si="167"/>
        <v/>
      </c>
      <c r="PT41" s="202" t="str">
        <f t="shared" ca="1" si="168"/>
        <v>Erste SpielsportartSkalawert[@[Skala-Wert]]</v>
      </c>
      <c r="PU41" s="98" t="str">
        <f t="shared" ca="1" si="169"/>
        <v/>
      </c>
      <c r="PV41" s="202" t="str">
        <f t="shared" ca="1" si="170"/>
        <v/>
      </c>
      <c r="PW41" s="202" t="str">
        <f t="shared" ca="1" si="171"/>
        <v/>
      </c>
      <c r="PX41" s="202" t="str">
        <f t="shared" ca="1" si="172"/>
        <v>StdDisziplinen[MaxTextSt]</v>
      </c>
      <c r="PY41" s="202" t="str">
        <f t="shared" ca="1" si="173"/>
        <v/>
      </c>
      <c r="PZ41" s="202" t="b">
        <f t="shared" ca="1" si="174"/>
        <v>0</v>
      </c>
      <c r="QA41" s="202" t="str">
        <f t="shared" ca="1" si="175"/>
        <v/>
      </c>
      <c r="QB41" s="202" t="str">
        <f t="shared" ca="1" si="32"/>
        <v/>
      </c>
      <c r="QC41" s="202" t="str">
        <f t="shared" ca="1" si="176"/>
        <v/>
      </c>
      <c r="QD41" s="202" t="str">
        <f t="shared" ca="1" si="177"/>
        <v/>
      </c>
      <c r="QE41" s="242" t="str">
        <f t="shared" ca="1" si="178"/>
        <v/>
      </c>
      <c r="QF41" s="242" t="str">
        <f t="shared" ca="1" si="179"/>
        <v/>
      </c>
      <c r="QG41" s="242" t="str">
        <f t="shared" ca="1" si="180"/>
        <v>Zweite Spielsportart</v>
      </c>
      <c r="QH41" s="242" t="str">
        <f ca="1">IF(QG41=$QF$11,Stammdaten!$AY$27,IF(QK41=$A$2,TRIM(Stammdaten!$AX$25),""))</f>
        <v>nicht durchgeführt</v>
      </c>
      <c r="QI41" s="242" t="str">
        <f t="shared" ca="1" si="181"/>
        <v/>
      </c>
      <c r="QJ41" s="202" t="str">
        <f t="shared" ca="1" si="182"/>
        <v>Zweite SpielsportartResultat[@Resultat]</v>
      </c>
      <c r="QK41" s="98" t="str">
        <f t="shared" ca="1" si="183"/>
        <v/>
      </c>
      <c r="QL41" s="202" t="str">
        <f t="shared" ca="1" si="184"/>
        <v/>
      </c>
      <c r="QM41" s="202" t="str">
        <f t="shared" ca="1" si="185"/>
        <v>Zweite SpielsportartSkalawert[@[Skala-Wert]]</v>
      </c>
      <c r="QN41" s="98" t="str">
        <f t="shared" ca="1" si="186"/>
        <v/>
      </c>
      <c r="QO41" s="202" t="str">
        <f t="shared" ca="1" si="187"/>
        <v/>
      </c>
      <c r="QP41" s="202" t="str">
        <f t="shared" ca="1" si="188"/>
        <v/>
      </c>
      <c r="QQ41" s="202" t="str">
        <f t="shared" ca="1" si="189"/>
        <v>StdDisziplinen[MaxTextSt]</v>
      </c>
      <c r="QR41" s="202" t="str">
        <f t="shared" ca="1" si="190"/>
        <v/>
      </c>
      <c r="QS41" s="202" t="b">
        <f t="shared" ca="1" si="191"/>
        <v>0</v>
      </c>
      <c r="QT41" s="242" t="str">
        <f t="shared" ca="1" si="33"/>
        <v>Dritte Spielsportart</v>
      </c>
      <c r="QU41" s="242" t="str">
        <f ca="1">IF(QT41=$QT$11,MID(Stammdaten!$AX$27,2,LEN(Stammdaten!$AX$27)),IF(QX41=$A$2,TRIM(Stammdaten!$AX$25),""))</f>
        <v>nicht durchgeführt</v>
      </c>
      <c r="QV41" s="242" t="str">
        <f t="shared" ca="1" si="34"/>
        <v/>
      </c>
      <c r="QW41" s="202" t="str">
        <f t="shared" ca="1" si="192"/>
        <v>Dritte SpielsportartResultat[@Resultat]</v>
      </c>
      <c r="QX41" s="98" t="str">
        <f t="shared" ca="1" si="193"/>
        <v/>
      </c>
      <c r="QY41" s="202" t="str">
        <f t="shared" ca="1" si="35"/>
        <v/>
      </c>
      <c r="QZ41" s="202" t="str">
        <f t="shared" ca="1" si="194"/>
        <v>Dritte SpielsportartSkalawert[@[Skala-Wert]]</v>
      </c>
      <c r="RA41" s="98" t="str">
        <f t="shared" ca="1" si="224"/>
        <v/>
      </c>
      <c r="RB41" s="202" t="str">
        <f t="shared" ca="1" si="36"/>
        <v/>
      </c>
      <c r="RC41" s="202" t="str">
        <f t="shared" ca="1" si="196"/>
        <v/>
      </c>
      <c r="RD41" s="202" t="str">
        <f t="shared" ca="1" si="197"/>
        <v>StdDisziplinen[MaxTextSt]</v>
      </c>
      <c r="RE41" s="202" t="str">
        <f t="shared" ca="1" si="37"/>
        <v/>
      </c>
      <c r="RF41" s="244">
        <f t="shared" ca="1" si="38"/>
        <v>99</v>
      </c>
      <c r="RG41" s="244">
        <f t="shared" ca="1" si="39"/>
        <v>99</v>
      </c>
      <c r="RH41" s="244">
        <f t="shared" ca="1" si="40"/>
        <v>99</v>
      </c>
      <c r="RI41" s="244">
        <f t="shared" ca="1" si="41"/>
        <v>99</v>
      </c>
      <c r="RJ41" s="244">
        <f t="shared" ca="1" si="42"/>
        <v>99</v>
      </c>
      <c r="RK41" s="244">
        <f t="shared" ca="1" si="198"/>
        <v>99</v>
      </c>
      <c r="RL41" s="244">
        <f t="shared" ca="1" si="199"/>
        <v>99</v>
      </c>
      <c r="RM41" s="244">
        <f t="shared" ca="1" si="200"/>
        <v>99</v>
      </c>
      <c r="RN41" s="244">
        <f t="shared" ca="1" si="201"/>
        <v>99</v>
      </c>
      <c r="RO41" s="244">
        <f t="shared" ca="1" si="202"/>
        <v>99</v>
      </c>
      <c r="RP41" s="202" t="str">
        <f t="shared" ca="1" si="43"/>
        <v>Zu wenige Noten</v>
      </c>
      <c r="RQ41" s="202" t="str">
        <f t="shared" ca="1" si="203"/>
        <v>Zu wenige Noten</v>
      </c>
      <c r="RR41" s="202" t="str">
        <f t="shared" ca="1" si="203"/>
        <v>Zu wenige Noten</v>
      </c>
      <c r="RS41" s="202" t="str">
        <f t="shared" ca="1" si="204"/>
        <v>Zu wenige Noten</v>
      </c>
      <c r="RT41" s="202" t="str">
        <f t="shared" ca="1" si="204"/>
        <v>Zu wenige Noten</v>
      </c>
      <c r="RU41" s="202" t="str">
        <f t="shared" ca="1" si="205"/>
        <v>Zu wenige Noten</v>
      </c>
      <c r="RV41" s="202" t="str">
        <f t="shared" ca="1" si="206"/>
        <v>Zu wenige Noten</v>
      </c>
      <c r="RW41" s="31"/>
      <c r="RX41" s="56" t="str">
        <f t="shared" ca="1" si="44"/>
        <v>Zu wenige Noten</v>
      </c>
      <c r="RY41" s="31"/>
      <c r="RZ41" s="31" t="str">
        <f t="shared" ca="1" si="45"/>
        <v>Zu wenige Noten</v>
      </c>
      <c r="SA41" s="31" t="str">
        <f t="shared" ca="1" si="46"/>
        <v>Zu wenige Noten</v>
      </c>
      <c r="SB41" s="45" t="str">
        <f t="shared" ca="1" si="47"/>
        <v>Zu wenige Noten</v>
      </c>
      <c r="SC41" s="31" t="str">
        <f t="shared" ca="1" si="207"/>
        <v>Zu wenige Noten</v>
      </c>
      <c r="SD41" s="31" t="str">
        <f t="shared" ca="1" si="208"/>
        <v>Zu wenige Noten</v>
      </c>
      <c r="SE41" s="31" t="str">
        <f t="shared" ca="1" si="225"/>
        <v>Zu wenige Noten</v>
      </c>
      <c r="SF41" s="31" t="str">
        <f t="shared" ca="1" si="209"/>
        <v>Zu wenige Noten</v>
      </c>
      <c r="SG41" s="31" t="str">
        <f t="shared" ca="1" si="226"/>
        <v>Zu wenige Noten</v>
      </c>
      <c r="SH41" s="36">
        <f t="shared" ca="1" si="210"/>
        <v>0</v>
      </c>
      <c r="SI41" s="36">
        <f t="shared" ca="1" si="211"/>
        <v>0</v>
      </c>
      <c r="SJ41" s="36">
        <f t="shared" ca="1" si="212"/>
        <v>0</v>
      </c>
      <c r="SK41" s="31">
        <f t="shared" ca="1" si="213"/>
        <v>99</v>
      </c>
      <c r="SL41" s="31">
        <f t="shared" ca="1" si="214"/>
        <v>99</v>
      </c>
      <c r="SM41" s="36" t="str">
        <f t="shared" ca="1" si="215"/>
        <v>99.0</v>
      </c>
      <c r="SN41" s="31">
        <f t="shared" ca="1" si="216"/>
        <v>99</v>
      </c>
      <c r="SO41" s="36" t="str">
        <f ca="1">IF(NOT(SJ41),INDEX(StdFehler[StdFehler],4),IF(SI41=$SJ$13,$A$3,CONCATENATE(TEXT(SK41,"#.0"),", ",TEXT(SL41,"#.0"),", ",SM41,", ",TEXT(SN41,"#.0"))))</f>
        <v>Zu wenige Noten</v>
      </c>
      <c r="SP41" s="36" t="str">
        <f t="shared" ca="1" si="49"/>
        <v>Zu wenige Noten</v>
      </c>
      <c r="SQ41" s="36" t="str">
        <f t="shared" ca="1" si="49"/>
        <v>Zu wenige Noten</v>
      </c>
      <c r="SR41" s="36" t="str">
        <f t="shared" ca="1" si="49"/>
        <v>Zu wenige Noten</v>
      </c>
      <c r="SS41" s="36" t="str">
        <f t="shared" ca="1" si="49"/>
        <v>Zu wenige Noten</v>
      </c>
      <c r="ST41" s="36" t="str">
        <f t="shared" ca="1" si="217"/>
        <v>Zu wenige Noten</v>
      </c>
      <c r="SU41" s="36"/>
      <c r="SV41" s="214" t="str">
        <f t="shared" si="218"/>
        <v>D</v>
      </c>
      <c r="SW41" s="36"/>
      <c r="SX41" s="214" t="str">
        <f t="shared" si="219"/>
        <v>D</v>
      </c>
      <c r="SY41" s="36"/>
      <c r="SZ41" s="214" t="str">
        <f t="shared" si="220"/>
        <v>D</v>
      </c>
      <c r="TA41" s="36"/>
      <c r="TB41" s="214" t="str">
        <f t="shared" si="221"/>
        <v>D</v>
      </c>
      <c r="TC41" s="31"/>
      <c r="TD41" s="36" t="str">
        <f t="shared" ca="1" si="222"/>
        <v>Zu wenige Noten</v>
      </c>
      <c r="TE41" s="31"/>
      <c r="TF41" s="193" t="str">
        <f ca="1">IF(NOT(SJ41),INDEX(StdFehler[StdFehler],4),IF(SI41=$TF$4,$A$3,ROUND(AVERAGE(RZ41:SC41)/$TF$5,0)*$TF$5))</f>
        <v>Zu wenige Noten</v>
      </c>
      <c r="TH41" s="595" t="str">
        <f>IF(OR($TH$18=Stammdaten!$AX$20,$TH$18=""),Stammdaten!$AX$20,$TH$18)</f>
        <v>Disziplin</v>
      </c>
      <c r="TI41" s="33"/>
      <c r="TJ41" s="33" t="str">
        <f>IF(OR(Geschlecht[[#This Row],[Geschlecht (Skala)]]="",TH41="",TH41=Stammdaten!$AX$20),"",REPLACE(INDEX(StdDisziplinen[TabÜberschriftResultat],TH$3),FIND("XX",INDEX(StdDisziplinen[TabÜberschriftResultat],TH$3),1),2,Geschlecht[[#This Row],[Geschlecht (Skala)]]))</f>
        <v/>
      </c>
      <c r="TK41" s="596"/>
      <c r="TM41" s="37"/>
      <c r="TN41" s="40"/>
      <c r="TO41" s="587">
        <f>IF(TO$16,IF(TP$16=0.5,MROUND(SchwimmenResultat[[#This Row],[Resultat]],TP$16),ROUND(SchwimmenResultat[[#This Row],[Resultat]],TP$16)),ROUNDDOWN(SchwimmenResultat[[#This Row],[Resultat]],TP$16))</f>
        <v>0</v>
      </c>
      <c r="TP41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1" s="153" t="str">
        <f ca="1">IF(TP41="","",IF(OR(SchwimmenResultat[[#This Row],[Resultat]]=Stammdaten!$AX$22,SchwimmenResultat[[#This Row],[Resultat]]=Stammdaten!$AX$19),Stammdaten!$AX$19,IF(ISNA(INDEX(INDIRECT(TP41),MATCH(SchwimmenGerundet[[#This Row],[Rundung]],INDIRECT(TP41),TP$18))),IF(TP$18=-1,LARGE(INDIRECT(TP41),1),SMALL(INDIRECT(TP41),1)),INDEX(INDIRECT(TP41),MATCH(SchwimmenGerundet[[#This Row],[Rundung]],INDIRECT(TP41),TP$18)))))</f>
        <v/>
      </c>
      <c r="TR41" s="33" t="str">
        <f>IF(OR(TP41="",SchwimmenResultat[[#This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1" s="33"/>
      <c r="TT41" s="36" t="str">
        <f ca="1">IF(OR(TR41="",SchwimmenSkalawert[[#This Row],[Skala-Wert]]=Stammdaten!$AX$19),"",INDEX(INDIRECT(TR41),MATCH(SchwimmenSkalawert[[#This Row],[Skala-Wert]],INDIRECT(TP41),0)))</f>
        <v/>
      </c>
      <c r="TU41" s="36"/>
      <c r="TV41" s="190" t="str">
        <f>IF(ZwölfMinLaufHalleResultat[[#This Row],[Resultat]]=0,"",ZwölfMinLaufHalleResultat[[#This Row],[Resultat]])</f>
        <v/>
      </c>
      <c r="TW41" s="190"/>
      <c r="TX41" s="31" t="str">
        <f ca="1">ZwölfMinLaufHalleSkalawert[[#This Row],[Skala-Wert]]</f>
        <v/>
      </c>
      <c r="TZ41" s="31" t="str">
        <f ca="1">ZwölfMinLaufHalleNote[[#This Row],[Note]]</f>
        <v/>
      </c>
      <c r="UA41" s="31"/>
      <c r="UB41" s="190" t="str">
        <f>IF(ZwölfMinLaufimFreienResultat[[#This Row],[Resultat]]=0,"",ZwölfMinLaufimFreienResultat[[#This Row],[Resultat]])</f>
        <v/>
      </c>
      <c r="UC41" s="190"/>
      <c r="UD41" s="192" t="str">
        <f ca="1">ZwölfMinLaufimFreienSkalawert[[#This Row],[Skala-Wert]]</f>
        <v/>
      </c>
      <c r="UF41" s="31" t="str">
        <f ca="1">ZwölfMinLaufimFreienNote[[#This Row],[Note]]</f>
        <v/>
      </c>
      <c r="UG41" s="31"/>
      <c r="UH41" s="597"/>
      <c r="UI41" s="190"/>
      <c r="UJ41" s="587">
        <f>IF(UJ$16,IF(UK$16=0.5,MROUND(BeweglichkeitResultat[[#This Row],[Resultat]],UK$16),ROUND(BeweglichkeitResultat[[#This Row],[Resultat]],UK$16)),ROUNDDOWN(BeweglichkeitResultat[[#This Row],[Resultat]],UK$16))</f>
        <v>0</v>
      </c>
      <c r="UK41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1" s="192" t="str">
        <f ca="1">IF(UK41="","",IF(OR(BeweglichkeitResultat[[#This Row],[Resultat]]=Stammdaten!$AX$22,BeweglichkeitResultat[[#This Row],[Resultat]]=Stammdaten!$AX$19),Stammdaten!$AX$19,IF(ISNA(INDEX(INDIRECT(UK41),MATCH(BeweglichkeitGerundet[[#This Row],[Rundung]],INDIRECT(UK41),UK$18))),IF(UK$18=-1,LARGE(INDIRECT(UK41),1),SMALL(INDIRECT(UK41),1)),INDEX(INDIRECT(UK41),MATCH(BeweglichkeitGerundet[[#This Row],[Rundung]],INDIRECT(UK41),UK$18)))))</f>
        <v/>
      </c>
      <c r="UN41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1" s="36" t="str">
        <f ca="1">IF(OR(UK41="",BeweglichkeitSkalawert[[#This Row],[Skala-Wert]]=Stammdaten!$AX$19),"",INDEX(INDIRECT(UN41),MATCH(BeweglichkeitSkalawert[[#This Row],[Skala-Wert]],INDIRECT(UK41),0)))</f>
        <v/>
      </c>
      <c r="UP41" s="31"/>
      <c r="UQ41" s="597"/>
      <c r="UR41" s="190"/>
      <c r="US41" s="587">
        <f>IF(US$16,IF(UT$16=0.5,MROUND(RumpfkraftResultat[[#This Row],[Resultat]],UT$16),ROUND(RumpfkraftResultat[[#This Row],[Resultat]],UT$16)),ROUNDDOWN(RumpfkraftResultat[[#This Row],[Resultat]],UT$16))</f>
        <v>0</v>
      </c>
      <c r="UT41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1" s="192" t="str">
        <f ca="1">IF(UT41="","",IF(OR(RumpfkraftResultat[[#This Row],[Resultat]]=Stammdaten!$AX$22,RumpfkraftResultat[[#This Row],[Resultat]]=Stammdaten!$AX$19),Stammdaten!$AX$19,IF(ISNA(INDEX(INDIRECT(UT41),MATCH(RumpfkraftGerundet[[#This Row],[Rundung]],INDIRECT(UT41),UT$18))),IF(UT$18=-1,LARGE(INDIRECT(UT41),1),SMALL(INDIRECT(UT41),1)),INDEX(INDIRECT(UT41),MATCH(RumpfkraftGerundet[[#This Row],[Rundung]],INDIRECT(UT41),UT$18)))))</f>
        <v/>
      </c>
      <c r="UW41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1" s="36" t="str">
        <f ca="1">IF(OR(UT41="",RumpfkraftSkalawert[[#This Row],[Skala-Wert]]=Stammdaten!$AX$19),"",INDEX(INDIRECT(UW41),MATCH(RumpfkraftSkalawert[[#This Row],[Skala-Wert]],INDIRECT(UT41),0)))</f>
        <v/>
      </c>
      <c r="UY41" s="31"/>
      <c r="UZ41" s="190" t="str">
        <f>IF(SechzigmLaufResultat[[#This Row],[Resultat]]=0,"",SechzigmLaufResultat[[#This Row],[Resultat]])</f>
        <v/>
      </c>
      <c r="VA41" s="190"/>
      <c r="VB41" s="45" t="str">
        <f ca="1">SechzigmLaufSkalawert[[#This Row],[Skala-Wert]]</f>
        <v/>
      </c>
      <c r="VD41" s="31" t="str">
        <f ca="1">SechzigmLaufNote[[#This Row],[Note]]</f>
        <v/>
      </c>
      <c r="VE41" s="31"/>
      <c r="VF41" s="190" t="str">
        <f>IF(AchtzigmLaufResultat[[#This Row],[Resultat]]=0,"",AchtzigmLaufResultat[[#This Row],[Resultat]])</f>
        <v/>
      </c>
      <c r="VG41" s="190"/>
      <c r="VH41" s="45" t="str">
        <f ca="1">AchtzigmLaufSkalawert[[#This Row],[Skala-Wert]]</f>
        <v/>
      </c>
      <c r="VJ41" s="31" t="str">
        <f ca="1">AchtzigmLaufNote[[#This Row],[Note]]</f>
        <v/>
      </c>
      <c r="VK41" s="31"/>
      <c r="VL41" s="37"/>
      <c r="VM41" s="190"/>
      <c r="VN41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1" s="191" t="str">
        <f>IF(OR(Geschlecht[[#This Row],[Geschlecht (Skala)]]="",VL$16=""),"",MID(Geschlecht[[#This Row],[Geschlecht (Skala)]],1,1)&amp;MID(VL$16,1,1))</f>
        <v/>
      </c>
      <c r="VP41" s="190" t="str">
        <f>IF(OR(VO41="",KonditionsparcoursResultat[[#This Row],[Resultat]]=""),"",REPLACE(INDEX(StdDisziplinen[TabÜberschriftResultat],VL$3),FIND("X",INDEX(StdDisziplinen[TabÜberschriftResultat],VL$3),1),2,VO41))</f>
        <v/>
      </c>
      <c r="VQ41" s="192" t="str">
        <f ca="1">IF(VP41="","",IF(OR(KonditionsparcoursResultat[[#This Row],[Resultat]]=Stammdaten!$AX$22,KonditionsparcoursResultat[[#This Row],[Resultat]]=Stammdaten!$AX$19),Stammdaten!$AX$19,IF(ISNA(INDEX(INDIRECT(VP41),MATCH(KonditionsparcoursGerundet[[#This Row],[Rundung]],INDIRECT(VP41),VP$18))),IF(VP$18=-1,LARGE(INDIRECT(VP41),1),SMALL(INDIRECT(VP41),1)),INDEX(INDIRECT(VP41),MATCH(KonditionsparcoursGerundet[[#This Row],[Rundung]],INDIRECT(VP41),VP$18)))))</f>
        <v/>
      </c>
      <c r="VS41" s="18" t="str">
        <f ca="1">IF(KonditionsparcoursSkalawert[[#This Row],[Skala-Wert]]="","",REPLACE(INDEX(StdDisziplinen[TabÜberschriftNote],VL$3),FIND("X",INDEX(StdDisziplinen[TabÜberschriftNote],VL$3),1),2,VO41))</f>
        <v/>
      </c>
      <c r="VT41" s="31" t="str">
        <f ca="1">IF(OR(VS41="",KonditionsparcoursSkalawert[[#This Row],[Skala-Wert]]=Stammdaten!$AX$19),"",INDEX(INDIRECT(VS41),MATCH(KonditionsparcoursSkalawert[[#This Row],[Skala-Wert]],INDIRECT(VP41),0)))</f>
        <v/>
      </c>
      <c r="VU41" s="22"/>
    </row>
    <row r="42" spans="1:593" x14ac:dyDescent="0.3">
      <c r="A42" s="30">
        <v>24</v>
      </c>
      <c r="B42" s="589"/>
      <c r="C42" s="589"/>
      <c r="E42" s="591"/>
      <c r="G42" s="37"/>
      <c r="H42" s="190"/>
      <c r="I42" s="154">
        <f>IF(I$16,IF(J$16=0.5,MROUND(SechzigmLaufResultat[[#This Row],[Resultat]],J$16),ROUND(SechzigmLaufResultat[[#This Row],[Resultat]],J$16)),ROUNDDOWN(SechzigmLaufResultat[[#This Row],[Resultat]],J$16))</f>
        <v>0</v>
      </c>
      <c r="J42" s="191" t="str">
        <f>IF(OR(Geschlecht[[#This Row],[Geschlecht (Skala)]]="",G$16=""),"",MID(Geschlecht[[#This Row],[Geschlecht (Skala)]],1,1)&amp;MID(G$16,1,1))</f>
        <v/>
      </c>
      <c r="K42" s="190" t="str">
        <f>IF(OR(J42="",SechzigmLaufResultat[[#This Row],[Resultat]]=""),"",REPLACE(INDEX(StdDisziplinen[TabÜberschriftResultat],G$3),FIND("X",INDEX(StdDisziplinen[TabÜberschriftResultat],G$3),1),2,J42))</f>
        <v/>
      </c>
      <c r="L42" s="45" t="str">
        <f ca="1">IF(K42="","",IF(OR(SechzigmLaufResultat[[#This Row],[Resultat]]=Stammdaten!$AX$22,SechzigmLaufResultat[[#This Row],[Resultat]]=Stammdaten!$AX$19),Stammdaten!$AX$19,IF(ISNA(INDEX(INDIRECT(K42),MATCH(SechzigmLaufGerundet[[#This Row],[Rundung]],INDIRECT(K42),K$18))),IF(K$18=-1,LARGE(INDIRECT(K42),1),SMALL(INDIRECT(K42),1)),INDEX(INDIRECT(K42),MATCH(SechzigmLaufGerundet[[#This Row],[Rundung]],INDIRECT(K42),K$18)))))</f>
        <v/>
      </c>
      <c r="N42" s="18" t="str">
        <f ca="1">IF(SechzigmLaufSkalawert[[#This Row],[Skala-Wert]]="","",REPLACE(INDEX(StdDisziplinen[TabÜberschriftNote],G$3),FIND("X",INDEX(StdDisziplinen[TabÜberschriftNote],G$3),1),2,J42))</f>
        <v/>
      </c>
      <c r="O42" s="31" t="str">
        <f ca="1">IF(OR(N42="",SechzigmLaufSkalawert[[#This Row],[Skala-Wert]]=Stammdaten!$AX$19),"",INDEX(INDIRECT(N42),MATCH(SechzigmLaufSkalawert[[#This Row],[Skala-Wert]],INDIRECT(K42),0)))</f>
        <v/>
      </c>
      <c r="P42" s="31"/>
      <c r="Q42" s="37"/>
      <c r="R42" s="190"/>
      <c r="S42" s="154">
        <f>IF(S$16,IF(T$16=0.5,MROUND(AchtzigmLaufResultat[[#This Row],[Resultat]],T$16),ROUND(AchtzigmLaufResultat[[#This Row],[Resultat]],T$16)),ROUNDDOWN(AchtzigmLaufResultat[[#This Row],[Resultat]],T$16))</f>
        <v>0</v>
      </c>
      <c r="T42" s="191" t="str">
        <f>IF(OR(Geschlecht[[#This Row],[Geschlecht (Skala)]]="",Q$16=""),"",MID(Geschlecht[[#This Row],[Geschlecht (Skala)]],1,1)&amp;MID(Q$16,1,1))</f>
        <v/>
      </c>
      <c r="U42" s="190" t="str">
        <f>IF(OR(T42="",AchtzigmLaufResultat[[#This Row],[Resultat]]=""),"",REPLACE(INDEX(StdDisziplinen[TabÜberschriftResultat],Q$3),FIND("X",INDEX(StdDisziplinen[TabÜberschriftResultat],Q$3),1),2,T42))</f>
        <v/>
      </c>
      <c r="V42" s="45" t="str">
        <f ca="1">IF(U42="","",IF(OR(AchtzigmLaufResultat[[#This Row],[Resultat]]=Stammdaten!$AX$22,AchtzigmLaufResultat[[#This Row],[Resultat]]=Stammdaten!$AX$19),Stammdaten!$AX$19,IF(ISNA(INDEX(INDIRECT(U42),MATCH(AchtzigmLaufGerundet[[#This Row],[Rundung]],INDIRECT(U42),U$18))),IF(U$18=-1,LARGE(INDIRECT(U42),1),SMALL(INDIRECT(U42),1)),INDEX(INDIRECT(U42),MATCH(AchtzigmLaufGerundet[[#This Row],[Rundung]],INDIRECT(U42),U$18)))))</f>
        <v/>
      </c>
      <c r="X42" s="18" t="str">
        <f ca="1">IF(AchtzigmLaufSkalawert[[#This Row],[Skala-Wert]]="","",REPLACE(INDEX(StdDisziplinen[TabÜberschriftNote],Q$3),FIND("X",INDEX(StdDisziplinen[TabÜberschriftNote],Q$3),1),2,T42))</f>
        <v/>
      </c>
      <c r="Y42" s="31" t="str">
        <f ca="1">IF(OR(X42="",AchtzigmLaufSkalawert[[#This Row],[Skala-Wert]]=Stammdaten!$AX$19),"",INDEX(INDIRECT(X42),MATCH(AchtzigmLaufSkalawert[[#This Row],[Skala-Wert]],INDIRECT(U42),0)))</f>
        <v/>
      </c>
      <c r="Z42" s="31"/>
      <c r="AA42" s="37"/>
      <c r="AB42" s="190"/>
      <c r="AC42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2" s="191" t="str">
        <f>IF(OR(Geschlecht[[#This Row],[Geschlecht (Skala)]]="",AA$16=""),"",MID(Geschlecht[[#This Row],[Geschlecht (Skala)]],1,1)&amp;MID(AA$16,1,1))</f>
        <v/>
      </c>
      <c r="AE42" s="190" t="str">
        <f>IF(OR(AD42="",ZwölfMinLaufHalleResultat[[#This Row],[Resultat]]=""),"",REPLACE(INDEX(StdDisziplinen[TabÜberschriftResultat],AA$3),FIND("X",INDEX(StdDisziplinen[TabÜberschriftResultat],AA$3),1),2,AD42))</f>
        <v/>
      </c>
      <c r="AF42" s="31" t="str">
        <f ca="1">IF(AE42="","",IF(OR(ZwölfMinLaufHalleResultat[[#This Row],[Resultat]]=Stammdaten!$AX$22,ZwölfMinLaufHalleResultat[[#This Row],[Resultat]]=Stammdaten!$AX$19),Stammdaten!$AX$19,IF(ISNA(INDEX(INDIRECT(AE42),MATCH(ZwölfMinLaufHalleGerundet[[#This Row],[Rundung]],INDIRECT(AE42),AE$18))),IF(AE$18=-1,LARGE(INDIRECT(AE42),1),SMALL(INDIRECT(AE42),1)),INDEX(INDIRECT(AE42),MATCH(ZwölfMinLaufHalleGerundet[[#This Row],[Rundung]],INDIRECT(AE42),AE$18)))))</f>
        <v/>
      </c>
      <c r="AH42" s="18" t="str">
        <f ca="1">IF(ZwölfMinLaufHalleSkalawert[[#This Row],[Skala-Wert]]="","",REPLACE(INDEX(StdDisziplinen[TabÜberschriftNote],AA$3),FIND("X",INDEX(StdDisziplinen[TabÜberschriftNote],AA$3),1),2,AD42))</f>
        <v/>
      </c>
      <c r="AI42" s="31" t="str">
        <f ca="1">IF(OR(AH42="",ZwölfMinLaufHalleSkalawert[[#This Row],[Skala-Wert]]=Stammdaten!$AX$19),"",INDEX(INDIRECT(AH42),MATCH(ZwölfMinLaufHalleSkalawert[[#This Row],[Skala-Wert]],INDIRECT(AE42),0)))</f>
        <v/>
      </c>
      <c r="AJ42" s="31"/>
      <c r="AK42" s="597"/>
      <c r="AL42" s="190"/>
      <c r="AM42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2" s="191" t="str">
        <f>IF(OR(Geschlecht[[#This Row],[Geschlecht (Skala)]]="",AK$16=""),"",MID(Geschlecht[[#This Row],[Geschlecht (Skala)]],1,1)&amp;MID(AK$16,1,1))</f>
        <v/>
      </c>
      <c r="AO42" s="190" t="str">
        <f>IF(OR(AN42="",ZwölfMinLaufimFreienResultat[[#This Row],[Resultat]]=""),"",REPLACE(INDEX(StdDisziplinen[TabÜberschriftResultat],AK$3),FIND("X",INDEX(StdDisziplinen[TabÜberschriftResultat],AK$3),1),2,AN42))</f>
        <v/>
      </c>
      <c r="AP42" s="192" t="str">
        <f ca="1">IF(AO42="","",IF(OR(ZwölfMinLaufimFreienResultat[[#This Row],[Resultat]]=Stammdaten!$AX$22,ZwölfMinLaufimFreienResultat[[#This Row],[Resultat]]=Stammdaten!$AX$19),Stammdaten!$AX$19,IF(ISNA(INDEX(INDIRECT(AO42),MATCH(ZwölfMinLaufimFreienGerundet[[#This Row],[Rundung]],INDIRECT(AO42),AO$18))),IF(AO$18=-1,LARGE(INDIRECT(AO42),1),SMALL(INDIRECT(AO42),1)),INDEX(INDIRECT(AO42),MATCH(ZwölfMinLaufimFreienGerundet[[#This Row],[Rundung]],INDIRECT(AO42),AO$18)))))</f>
        <v/>
      </c>
      <c r="AR42" s="18" t="str">
        <f ca="1">IF(ZwölfMinLaufimFreienSkalawert[[#This Row],[Skala-Wert]]="","",REPLACE(INDEX(StdDisziplinen[TabÜberschriftNote],AK$3),FIND("X",INDEX(StdDisziplinen[TabÜberschriftNote],AK$3),1),2,AN42))</f>
        <v/>
      </c>
      <c r="AS42" s="31" t="str">
        <f ca="1">IF(OR(AR42="",ZwölfMinLaufimFreienSkalawert[[#This Row],[Skala-Wert]]=Stammdaten!$AX$19),"",INDEX(INDIRECT(AR42),MATCH(ZwölfMinLaufimFreienSkalawert[[#This Row],[Skala-Wert]],INDIRECT(AO42),0)))</f>
        <v/>
      </c>
      <c r="AT42" s="31"/>
      <c r="AU42" s="597"/>
      <c r="AV42" s="190"/>
      <c r="AW42" s="587">
        <f>IF(AW$16,IF(AX$16=0.5,MROUND(HochsprungResultat[[#This Row],[Resultat]],AX$16),ROUND(HochsprungResultat[[#This Row],[Resultat]],AX$16)),ROUNDDOWN(HochsprungResultat[[#This Row],[Resultat]],AX$16))</f>
        <v>0</v>
      </c>
      <c r="AX42" s="191" t="str">
        <f>IF(OR(Geschlecht[[#This Row],[Geschlecht (Skala)]]="",AU$16=""),"",MID(Geschlecht[[#This Row],[Geschlecht (Skala)]],1,1)&amp;MID(AU$16,1,1))</f>
        <v/>
      </c>
      <c r="AY42" s="190" t="str">
        <f>IF(OR(AX42="",HochsprungResultat[[#This Row],[Resultat]]=""),"",REPLACE(INDEX(StdDisziplinen[TabÜberschriftResultat],AU$3),FIND("X",INDEX(StdDisziplinen[TabÜberschriftResultat],AU$3),1),2,AX42))</f>
        <v/>
      </c>
      <c r="AZ42" s="192" t="str">
        <f ca="1">IF(AY42="","",IF(OR(HochsprungResultat[[#This Row],[Resultat]]=Stammdaten!$AX$22,HochsprungResultat[[#This Row],[Resultat]]=Stammdaten!$AX$19),Stammdaten!$AX$19,IF(ISNA(INDEX(INDIRECT(AY42),MATCH(HochsprungGerundet[[#This Row],[Rundung]],INDIRECT(AY42),AY$18))),IF(AY$18=-1,LARGE(INDIRECT(AY42),1),SMALL(INDIRECT(AY42),1)),INDEX(INDIRECT(AY42),MATCH(HochsprungGerundet[[#This Row],[Rundung]],INDIRECT(AY42),AY$18)))))</f>
        <v/>
      </c>
      <c r="BB42" s="18" t="str">
        <f ca="1">IF(HochsprungSkalawert[[#This Row],[Skala-Wert]]="","",REPLACE(INDEX(StdDisziplinen[TabÜberschriftNote],AU$3),FIND("X",INDEX(StdDisziplinen[TabÜberschriftNote],AU$3),1),2,AX42))</f>
        <v/>
      </c>
      <c r="BC42" s="31" t="str">
        <f ca="1">IF(OR(BB42="",HochsprungSkalawert[[#This Row],[Skala-Wert]]=Stammdaten!$AX$19),"",INDEX(INDIRECT(BB42),MATCH(HochsprungSkalawert[[#This Row],[Skala-Wert]],INDIRECT(AY42),0)))</f>
        <v/>
      </c>
      <c r="BD42" s="31"/>
      <c r="BE42" s="597"/>
      <c r="BF42" s="190"/>
      <c r="BG42" s="587">
        <f>IF(BG$16,IF(BH$16=0.5,MROUND(WeitsprungResultat[[#This Row],[Resultat]],BH$16),ROUND(WeitsprungResultat[[#This Row],[Resultat]],BH$16)),ROUNDDOWN(WeitsprungResultat[[#This Row],[Resultat]],BH$16))</f>
        <v>0</v>
      </c>
      <c r="BH42" s="191" t="str">
        <f>IF(OR(Geschlecht[[#This Row],[Geschlecht (Skala)]]="",BE$16=""),"",MID(Geschlecht[[#This Row],[Geschlecht (Skala)]],1,1)&amp;MID(BE$16,1,1))</f>
        <v/>
      </c>
      <c r="BI42" s="190" t="str">
        <f>IF(OR(BH42="",WeitsprungResultat[[#This Row],[Resultat]]=""),"",REPLACE(INDEX(StdDisziplinen[TabÜberschriftResultat],BE$3),FIND("X",INDEX(StdDisziplinen[TabÜberschriftResultat],BE$3),1),2,BH42))</f>
        <v/>
      </c>
      <c r="BJ42" s="192" t="str">
        <f ca="1">IF(BI42="","",IF(OR(WeitsprungResultat[[#This Row],[Resultat]]=Stammdaten!$AX$22,WeitsprungResultat[[#This Row],[Resultat]]=Stammdaten!$AX$19),Stammdaten!$AX$19,IF(ISNA(INDEX(INDIRECT(BI42),MATCH(WeitsprungGerundet[[#This Row],[Rundung]],INDIRECT(BI42),BI$18))),IF(BI$18=-1,LARGE(INDIRECT(BI42),1),SMALL(INDIRECT(BI42),1)),INDEX(INDIRECT(BI42),MATCH(WeitsprungGerundet[[#This Row],[Rundung]],INDIRECT(BI42),BI$18)))))</f>
        <v/>
      </c>
      <c r="BL42" s="18" t="str">
        <f ca="1">IF(WeitsprungSkalawert[[#This Row],[Skala-Wert]]="","",REPLACE(INDEX(StdDisziplinen[TabÜberschriftNote],BE$3),FIND("X",INDEX(StdDisziplinen[TabÜberschriftNote],BE$3),1),2,BH42))</f>
        <v/>
      </c>
      <c r="BM42" s="31" t="str">
        <f ca="1">IF(OR(BL42="",WeitsprungSkalawert[[#This Row],[Skala-Wert]]=Stammdaten!$AX$19),"",INDEX(INDIRECT(BL42),MATCH(WeitsprungSkalawert[[#This Row],[Skala-Wert]],INDIRECT(BI42),0)))</f>
        <v/>
      </c>
      <c r="BN42" s="31"/>
      <c r="BO42" s="37"/>
      <c r="BP42" s="190"/>
      <c r="BQ42" s="154">
        <f>IF(BQ$16,IF(BR$16=0.5,MROUND(BallwurfResultat[[#This Row],[Resultat]],BR$16),ROUND(BallwurfResultat[[#This Row],[Resultat]],BR$16)),ROUNDDOWN(BallwurfResultat[[#This Row],[Resultat]],BR$16))</f>
        <v>0</v>
      </c>
      <c r="BR42" s="191" t="str">
        <f>IF(OR(Geschlecht[[#This Row],[Geschlecht (Skala)]]="",BO$16=""),"",MID(Geschlecht[[#This Row],[Geschlecht (Skala)]],1,1)&amp;MID(BO$16,1,1))</f>
        <v/>
      </c>
      <c r="BS42" s="190" t="str">
        <f>IF(OR(BR42="",BallwurfResultat[[#This Row],[Resultat]]=""),"",REPLACE(INDEX(StdDisziplinen[TabÜberschriftResultat],BO$3),FIND("X",INDEX(StdDisziplinen[TabÜberschriftResultat],BO$3),1),2,BR42))</f>
        <v/>
      </c>
      <c r="BT42" s="45" t="str">
        <f ca="1">IF(BS42="","",IF(OR(BallwurfResultat[[#This Row],[Resultat]]=Stammdaten!$AX$22,BallwurfResultat[[#This Row],[Resultat]]=Stammdaten!$AX$19),Stammdaten!$AX$19,IF(ISNA(INDEX(INDIRECT(BS42),MATCH(BallwurfGerundet[[#This Row],[Rundung]],INDIRECT(BS42),BS$18))),IF(BS$18=-1,LARGE(INDIRECT(BS42),1),SMALL(INDIRECT(BS42),1)),INDEX(INDIRECT(BS42),MATCH(BallwurfGerundet[[#This Row],[Rundung]],INDIRECT(BS42),BS$18)))))</f>
        <v/>
      </c>
      <c r="BV42" s="18" t="str">
        <f ca="1">IF(BallwurfSkalawert[[#This Row],[Skala-Wert]]="","",REPLACE(INDEX(StdDisziplinen[TabÜberschriftNote],BO$3),FIND("X",INDEX(StdDisziplinen[TabÜberschriftNote],BO$3),1),2,BR42))</f>
        <v/>
      </c>
      <c r="BW42" s="31" t="str">
        <f ca="1">IF(OR(BV42="",BallwurfSkalawert[[#This Row],[Skala-Wert]]=Stammdaten!$AX$19),"",INDEX(INDIRECT(BV42),MATCH(BallwurfSkalawert[[#This Row],[Skala-Wert]],INDIRECT(BS42),0)))</f>
        <v/>
      </c>
      <c r="BX42" s="31"/>
      <c r="BY42" s="598"/>
      <c r="BZ42" s="190"/>
      <c r="CA42" s="154">
        <f>IF(CA$16,IF(CB$16=0.5,MROUND(KugelstossenResultat[[#This Row],[Resultat]],CB$16),ROUND(KugelstossenResultat[[#This Row],[Resultat]],CB$16)),ROUNDDOWN(KugelstossenResultat[[#This Row],[Resultat]],CB$16))</f>
        <v>0</v>
      </c>
      <c r="CB42" s="191" t="str">
        <f>IF(OR(Geschlecht[[#This Row],[Geschlecht (Skala)]]="",BY$16=""),"",MID(Geschlecht[[#This Row],[Geschlecht (Skala)]],1,1)&amp;MID(BY$16,1,1))</f>
        <v/>
      </c>
      <c r="CC42" s="190" t="str">
        <f>IF(OR(CB42="",KugelstossenResultat[[#This Row],[Resultat]]=""),"",REPLACE(INDEX(StdDisziplinen[TabÜberschriftResultat],BY$3),FIND("X",INDEX(StdDisziplinen[TabÜberschriftResultat],BY$3),1),2,CB42))</f>
        <v/>
      </c>
      <c r="CD42" s="45" t="str">
        <f ca="1">IF(CC42="","",IF(OR(KugelstossenResultat[[#This Row],[Resultat]]=Stammdaten!$AX$22,KugelstossenResultat[[#This Row],[Resultat]]=Stammdaten!$AX$19),Stammdaten!$AX$19,IF(ISNA(INDEX(INDIRECT(CC42),MATCH(KugelstossenGerundet[[#This Row],[Rundung]],INDIRECT(CC42),CC$18))),IF(CC$18=-1,LARGE(INDIRECT(CC42),1),SMALL(INDIRECT(CC42),1)),INDEX(INDIRECT(CC42),MATCH(KugelstossenGerundet[[#This Row],[Rundung]],INDIRECT(CC42),CC$18)))))</f>
        <v/>
      </c>
      <c r="CF42" s="18" t="str">
        <f ca="1">IF(KugelstossenSkalawert[[#This Row],[Skala-Wert]]="","",REPLACE(INDEX(StdDisziplinen[TabÜberschriftNote],BY$3),FIND("X",INDEX(StdDisziplinen[TabÜberschriftNote],BY$3),1),2,CB42))</f>
        <v/>
      </c>
      <c r="CG42" s="31" t="str">
        <f ca="1">IF(OR(CF42="",KugelstossenSkalawert[[#This Row],[Skala-Wert]]=Stammdaten!$AX$19),"",INDEX(INDIRECT(CF42),MATCH(KugelstossenSkalawert[[#This Row],[Skala-Wert]],INDIRECT(CC42),0)))</f>
        <v/>
      </c>
      <c r="CH42" s="31"/>
      <c r="CI42" s="37"/>
      <c r="CJ42" s="190"/>
      <c r="CK42" s="154">
        <f>IF(CK$16,IF(CL$16=0.5,MROUND(SpeerwurfResultat[[#This Row],[Resultat]],CL$16),ROUND(SpeerwurfResultat[[#This Row],[Resultat]],CL$16)),ROUNDDOWN(SpeerwurfResultat[[#This Row],[Resultat]],CL$16))</f>
        <v>0</v>
      </c>
      <c r="CL42" s="191" t="str">
        <f>IF(OR(Geschlecht[[#This Row],[Geschlecht (Skala)]]="",CI$16=""),"",MID(Geschlecht[[#This Row],[Geschlecht (Skala)]],1,1)&amp;MID(CI$16,1,1))</f>
        <v/>
      </c>
      <c r="CM42" s="190" t="str">
        <f>IF(OR(CL42="",SpeerwurfResultat[[#This Row],[Resultat]]=""),"",REPLACE(INDEX(StdDisziplinen[TabÜberschriftResultat],CI$3),FIND("X",INDEX(StdDisziplinen[TabÜberschriftResultat],CI$3),1),2,CL42))</f>
        <v/>
      </c>
      <c r="CN42" s="45" t="str">
        <f ca="1">IF(CM42="","",IF(OR(SpeerwurfResultat[[#This Row],[Resultat]]=Stammdaten!$AX$22,SpeerwurfResultat[[#This Row],[Resultat]]=Stammdaten!$AX$19),Stammdaten!$AX$19,IF(ISNA(INDEX(INDIRECT(CM42),MATCH(SpeerwurfGerundet[[#This Row],[Rundung]],INDIRECT(CM42),CM$18))),IF(CM$18=-1,LARGE(INDIRECT(CM42),1),SMALL(INDIRECT(CM42),1)),INDEX(INDIRECT(CM42),MATCH(SpeerwurfGerundet[[#This Row],[Rundung]],INDIRECT(CM42),CM$18)))))</f>
        <v/>
      </c>
      <c r="CP42" s="18" t="str">
        <f ca="1">IF(SpeerwurfSkalawert[[#This Row],[Skala-Wert]]="","",REPLACE(INDEX(StdDisziplinen[TabÜberschriftNote],CI$3),FIND("X",INDEX(StdDisziplinen[TabÜberschriftNote],CI$3),1),2,CL42))</f>
        <v/>
      </c>
      <c r="CQ42" s="31" t="str">
        <f ca="1">IF(OR(CP42="",SpeerwurfSkalawert[[#This Row],[Skala-Wert]]=Stammdaten!$AX$19),"",INDEX(INDIRECT(CP42),MATCH(SpeerwurfSkalawert[[#This Row],[Skala-Wert]],INDIRECT(CM42),0)))</f>
        <v/>
      </c>
      <c r="CR42" s="31"/>
      <c r="CS42" s="31" t="str">
        <f t="shared" ca="1" si="50"/>
        <v/>
      </c>
      <c r="CT42" s="31" t="str">
        <f t="shared" ca="1" si="50"/>
        <v/>
      </c>
      <c r="CU42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Row],[Skala-Wert]])&gt;0,MAX(CS42:CT42),99))</f>
        <v>Keine Note</v>
      </c>
      <c r="CV42" s="202" t="str">
        <f t="shared" ca="1" si="51"/>
        <v/>
      </c>
      <c r="CW42" s="202" t="str">
        <f ca="1">IF(CV42=$A$2,CS$10&amp;Stammdaten!$AX$25,IF(CU42=INDEX(StdFehler[],3),CS$10&amp;Stammdaten!$AX$27,INDEX(INDIRECT($B$4),MATCH(CV42,INDIRECT($B$5),0))))</f>
        <v>Sprintdisziplinen nicht durchgeführt</v>
      </c>
      <c r="CX42" s="202" t="str">
        <f ca="1">IFERROR(INDEX(INDIRECT(CX$12),MATCH(CV42,StdDisziplinen[ID],0)),"")</f>
        <v/>
      </c>
      <c r="CY42" s="202" t="e">
        <f t="shared" ca="1" si="52"/>
        <v>#N/A</v>
      </c>
      <c r="CZ42" s="202" t="e">
        <f t="shared" ca="1" si="53"/>
        <v>#N/A</v>
      </c>
      <c r="DA42" s="98" t="str">
        <f t="shared" ca="1" si="223"/>
        <v/>
      </c>
      <c r="DB42" s="202" t="e">
        <f t="shared" ca="1" si="54"/>
        <v>#N/A</v>
      </c>
      <c r="DC42" s="202" t="str">
        <f t="shared" ca="1" si="55"/>
        <v/>
      </c>
      <c r="DD42" s="31" t="str">
        <f t="shared" ca="1" si="56"/>
        <v/>
      </c>
      <c r="DE42" s="31" t="str">
        <f t="shared" ca="1" si="56"/>
        <v/>
      </c>
      <c r="DF42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Row],[Skala-Wert]])&gt;0,MAX(DD42:DE42),99))</f>
        <v>Keine Note</v>
      </c>
      <c r="DG42" s="202" t="str">
        <f t="shared" ca="1" si="57"/>
        <v/>
      </c>
      <c r="DH42" s="202" t="str">
        <f ca="1">IF(DG42=$A$2,DD$10&amp;Stammdaten!$AX$25,IF(DF42=INDEX(StdFehler[],3),DD$10&amp;Stammdaten!$AX$27,INDEX(INDIRECT($B$4),MATCH(DG42,INDIRECT($B$5),0))))</f>
        <v>Ausdauerdisziplinen nicht durchgeführt</v>
      </c>
      <c r="DI42" s="202" t="str">
        <f ca="1">IFERROR(INDEX(INDIRECT(DI$12),MATCH(DG42,StdDisziplinen[ID],0)),"")</f>
        <v/>
      </c>
      <c r="DJ42" s="202" t="e">
        <f t="shared" ca="1" si="58"/>
        <v>#N/A</v>
      </c>
      <c r="DK42" s="202" t="e">
        <f t="shared" ca="1" si="59"/>
        <v>#N/A</v>
      </c>
      <c r="DL42" s="96" t="str">
        <f t="shared" ca="1" si="60"/>
        <v/>
      </c>
      <c r="DM42" s="202" t="e">
        <f t="shared" ca="1" si="61"/>
        <v>#N/A</v>
      </c>
      <c r="DN42" s="202" t="str">
        <f t="shared" ca="1" si="62"/>
        <v/>
      </c>
      <c r="DO42" s="31" t="str">
        <f t="shared" ca="1" si="63"/>
        <v/>
      </c>
      <c r="DP42" s="31" t="str">
        <f t="shared" ca="1" si="63"/>
        <v/>
      </c>
      <c r="DQ42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Row],[Skala-Wert]])&gt;0,MAX(DO42:DP42),99))</f>
        <v>Keine Note</v>
      </c>
      <c r="DR42" s="202" t="str">
        <f t="shared" ca="1" si="64"/>
        <v/>
      </c>
      <c r="DS42" s="202" t="str">
        <f ca="1">IF(DR42=$A$2,DO$10&amp;Stammdaten!$AX$25,IF(DQ42=INDEX(StdFehler[],3),DO$10&amp;Stammdaten!$AX$27,INDEX(INDIRECT($B$4),MATCH(DR42,INDIRECT($B$5),0))))</f>
        <v>Sprungdisziplinen nicht durchgeführt</v>
      </c>
      <c r="DT42" s="202" t="str">
        <f ca="1">IFERROR(INDEX(INDIRECT(DT$12),MATCH(DR42,StdDisziplinen[ID],0)),"")</f>
        <v/>
      </c>
      <c r="DU42" s="202" t="e">
        <f t="shared" ca="1" si="65"/>
        <v>#N/A</v>
      </c>
      <c r="DV42" s="202" t="e">
        <f t="shared" ca="1" si="66"/>
        <v>#N/A</v>
      </c>
      <c r="DW42" s="202" t="str">
        <f t="shared" ca="1" si="67"/>
        <v/>
      </c>
      <c r="DX42" s="202" t="e">
        <f t="shared" ca="1" si="68"/>
        <v>#N/A</v>
      </c>
      <c r="DY42" s="202" t="str">
        <f t="shared" ca="1" si="69"/>
        <v/>
      </c>
      <c r="DZ42" s="31" t="str">
        <f ca="1">IF(BallwurfSkalawert[[#This Row],[Skala-Wert]]=$A$3,$A$2,IF(ISNUMBER(BallwurfSkalawert[[#This Row],[Skala-Wert]]),BallwurfNote[[#This Row],[Note]],"!"))</f>
        <v>!</v>
      </c>
      <c r="EA42" s="31" t="str">
        <f ca="1">IF(KugelstossenSkalawert[[#This Row],[Skala-Wert]]=$A$3,$A$2,IF(ISNUMBER(KugelstossenSkalawert[[#This Row],[Skala-Wert]]),KugelstossenNote[[#This Row],[Note]],"!"))</f>
        <v>!</v>
      </c>
      <c r="EB42" s="31" t="str">
        <f ca="1">IF(SpeerwurfSkalawert[[#This Row],[Skala-Wert]]=$A$3,$A$2,IF(ISNUMBER(SpeerwurfSkalawert[[#This Row],[Skala-Wert]]),SpeerwurfNote[[#This Row],[Note]],"!"))</f>
        <v>!</v>
      </c>
      <c r="EC42" s="95" t="str">
        <f ca="1">IF(ED42&gt;0,MAX(DZ42:EB42),IF(EE42&gt;0,99,INDEX(StdFehler[StdFehler],3)))</f>
        <v>Keine Note</v>
      </c>
      <c r="ED42" s="202">
        <f t="shared" ca="1" si="70"/>
        <v>0</v>
      </c>
      <c r="EE42" s="202">
        <f t="shared" ca="1" si="71"/>
        <v>0</v>
      </c>
      <c r="EF42" s="202" t="str">
        <f t="shared" ca="1" si="72"/>
        <v/>
      </c>
      <c r="EG42" s="202" t="str">
        <f ca="1">IF(EF42=$A$2,DZ$10&amp;Stammdaten!$AX$25,IF(EC42=INDEX(StdFehler[],3),DZ$10&amp;Stammdaten!$AX$27,INDEX(INDIRECT($B$4),MATCH(EF42,INDIRECT($B$5),0))))</f>
        <v>Wurfdisziplinen nicht durchgeführt</v>
      </c>
      <c r="EH42" s="202" t="str">
        <f ca="1">IFERROR(INDEX(INDIRECT(EH$12),MATCH(EF42,StdDisziplinen[ID],0)),"")</f>
        <v/>
      </c>
      <c r="EI42" s="202" t="e">
        <f t="shared" ca="1" si="73"/>
        <v>#N/A</v>
      </c>
      <c r="EJ42" s="202" t="e">
        <f t="shared" ca="1" si="74"/>
        <v>#N/A</v>
      </c>
      <c r="EK42" s="98" t="str">
        <f t="shared" ca="1" si="75"/>
        <v/>
      </c>
      <c r="EL42" s="202" t="e">
        <f t="shared" ca="1" si="76"/>
        <v>#N/A</v>
      </c>
      <c r="EM42" s="202" t="str">
        <f t="shared" ca="1" si="77"/>
        <v/>
      </c>
      <c r="EN42" s="200">
        <f t="shared" ca="1" si="1"/>
        <v>0</v>
      </c>
      <c r="EO42" s="202">
        <f t="shared" ca="1" si="78"/>
        <v>0</v>
      </c>
      <c r="EP42" s="96">
        <f t="shared" ca="1" si="2"/>
        <v>0</v>
      </c>
      <c r="EQ42" s="96">
        <f t="shared" ca="1" si="3"/>
        <v>0</v>
      </c>
      <c r="ER42" s="96">
        <f t="shared" ca="1" si="4"/>
        <v>0</v>
      </c>
      <c r="ES42" s="96">
        <f t="shared" ca="1" si="5"/>
        <v>0</v>
      </c>
      <c r="ET42" s="202">
        <f t="shared" ca="1" si="79"/>
        <v>0</v>
      </c>
      <c r="EU42" s="202" t="str">
        <f ca="1">IF($EO42=$FA$4,Stammdaten!$AX$19,IF(COUNTIF($EP42:$ES42,0)&lt;&gt;0,INDEX(StdFehler[StdFehler],4),ROUND(SUM($ET42/$EN42)/$FC$4,0)*$FC$4))</f>
        <v>Zu wenige Noten</v>
      </c>
      <c r="EV42" s="202" t="str">
        <f t="shared" ca="1" si="6"/>
        <v>Zu wenige Noten</v>
      </c>
      <c r="EW42" s="202" t="str">
        <f t="shared" ca="1" si="80"/>
        <v>Zu wenige Noten</v>
      </c>
      <c r="EX42" s="202" t="str">
        <f t="shared" ca="1" si="80"/>
        <v>Zu wenige Noten</v>
      </c>
      <c r="EY42" s="202" t="str">
        <f t="shared" ca="1" si="80"/>
        <v>Zu wenige Noten</v>
      </c>
      <c r="EZ42" s="202" t="str">
        <f t="shared" ca="1" si="81"/>
        <v>Zu wenige Noten</v>
      </c>
      <c r="FA42" s="202" t="str">
        <f t="shared" ca="1" si="82"/>
        <v>Zu wenige Noten</v>
      </c>
      <c r="FB42" s="31"/>
      <c r="FC42" s="56" t="str">
        <f t="shared" ca="1" si="83"/>
        <v>Zu wenige Noten</v>
      </c>
      <c r="FD42" s="31"/>
      <c r="FE42" s="597"/>
      <c r="FF42" s="190"/>
      <c r="FJ42" s="31"/>
      <c r="FK42" s="597"/>
      <c r="FL42" s="190"/>
      <c r="FP42" s="31"/>
      <c r="FQ42" s="597"/>
      <c r="FR42" s="190"/>
      <c r="FV42" s="31"/>
      <c r="FW42" s="597"/>
      <c r="FX42" s="190"/>
      <c r="GB42" s="31"/>
      <c r="GC42" s="597"/>
      <c r="GD42" s="190"/>
      <c r="GF42" s="154"/>
      <c r="GH42" s="31"/>
      <c r="GI42" s="597"/>
      <c r="GJ42" s="190"/>
      <c r="GN42" s="45"/>
      <c r="GO42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2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2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2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2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2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2" s="202">
        <f t="shared" si="7"/>
        <v>0</v>
      </c>
      <c r="GV42" s="202">
        <f t="shared" si="8"/>
        <v>0</v>
      </c>
      <c r="GW42" s="202">
        <f t="shared" si="84"/>
        <v>0</v>
      </c>
      <c r="GX42" s="200" t="str">
        <f t="shared" si="85"/>
        <v>!</v>
      </c>
      <c r="GY42" s="200" t="str">
        <f t="shared" si="9"/>
        <v>!</v>
      </c>
      <c r="GZ42" s="200" t="str">
        <f t="shared" si="10"/>
        <v>!</v>
      </c>
      <c r="HA42" s="244" t="str">
        <f t="shared" si="86"/>
        <v>nd</v>
      </c>
      <c r="HB42" s="244" t="str">
        <f t="shared" si="87"/>
        <v>nd</v>
      </c>
      <c r="HC42" s="244" t="str">
        <f t="shared" si="88"/>
        <v>nd</v>
      </c>
      <c r="HD42" s="244" t="str">
        <f t="shared" si="89"/>
        <v>nd</v>
      </c>
      <c r="HE42" s="244" t="str">
        <f t="shared" si="90"/>
        <v>nd</v>
      </c>
      <c r="HF42" s="244" t="str">
        <f t="shared" si="91"/>
        <v>nd</v>
      </c>
      <c r="HG42" s="202" t="b">
        <f t="shared" si="92"/>
        <v>0</v>
      </c>
      <c r="HH42" s="202">
        <f t="shared" si="93"/>
        <v>1</v>
      </c>
      <c r="HI42" s="202">
        <f t="shared" si="94"/>
        <v>0</v>
      </c>
      <c r="HJ42" s="200" t="str">
        <f t="shared" si="95"/>
        <v/>
      </c>
      <c r="HK42" s="200" t="str">
        <f t="shared" si="96"/>
        <v/>
      </c>
      <c r="HL42" s="200">
        <f t="shared" si="97"/>
        <v>0</v>
      </c>
      <c r="HM42" s="202" t="str">
        <f t="shared" si="98"/>
        <v/>
      </c>
      <c r="HN42" s="200" t="str">
        <f t="shared" si="99"/>
        <v/>
      </c>
      <c r="HO42" s="200" t="str">
        <f t="shared" si="100"/>
        <v/>
      </c>
      <c r="HP42" s="200" t="str">
        <f t="shared" si="101"/>
        <v/>
      </c>
      <c r="HQ42" s="242" t="str">
        <f t="shared" si="102"/>
        <v/>
      </c>
      <c r="HR42" s="242" t="str">
        <f t="shared" si="103"/>
        <v/>
      </c>
      <c r="HS42" s="242" t="str">
        <f t="shared" si="104"/>
        <v/>
      </c>
      <c r="HT42" s="242" t="str">
        <f t="shared" ca="1" si="105"/>
        <v>Erstes Gerät</v>
      </c>
      <c r="HU42" s="242" t="str">
        <f ca="1">IF(HT42=$HS$12,Stammdaten!$AY$27,IF(HW42=$A$2,TRIM(Stammdaten!$AX$25),""))</f>
        <v>nicht durchgeführt</v>
      </c>
      <c r="HV42" s="242" t="str">
        <f t="shared" ca="1" si="106"/>
        <v/>
      </c>
      <c r="HW42" s="277" t="str">
        <f t="shared" si="11"/>
        <v/>
      </c>
      <c r="HX42" s="202" t="str">
        <f t="shared" si="107"/>
        <v/>
      </c>
      <c r="HY42" s="202" t="str">
        <f t="shared" ca="1" si="108"/>
        <v/>
      </c>
      <c r="HZ42" s="202" t="str">
        <f t="shared" ca="1" si="109"/>
        <v>StdDisziplinen[MaxTextSt]</v>
      </c>
      <c r="IA42" s="202" t="str">
        <f t="shared" ca="1" si="12"/>
        <v/>
      </c>
      <c r="IB42" s="202" t="b">
        <f t="shared" si="110"/>
        <v>0</v>
      </c>
      <c r="IC42" s="202" t="str">
        <f t="shared" si="111"/>
        <v/>
      </c>
      <c r="ID42" s="202" t="str">
        <f t="shared" si="112"/>
        <v/>
      </c>
      <c r="IE42" s="202" t="str">
        <f t="shared" si="113"/>
        <v/>
      </c>
      <c r="IF42" s="202" t="str">
        <f t="shared" si="114"/>
        <v/>
      </c>
      <c r="IG42" s="242" t="str">
        <f t="shared" si="115"/>
        <v/>
      </c>
      <c r="IH42" s="242" t="str">
        <f t="shared" si="116"/>
        <v/>
      </c>
      <c r="II42" s="242" t="str">
        <f t="shared" ca="1" si="13"/>
        <v>Zweites Gerät</v>
      </c>
      <c r="IJ42" s="242" t="str">
        <f ca="1">IF(II42=$IH$12,Stammdaten!$AY$27,IF(IL42=$A$2,TRIM(Stammdaten!$AX$25),""))</f>
        <v>nicht durchgeführt</v>
      </c>
      <c r="IK42" s="242" t="str">
        <f t="shared" ca="1" si="117"/>
        <v/>
      </c>
      <c r="IL42" s="200" t="str">
        <f t="shared" si="14"/>
        <v/>
      </c>
      <c r="IM42" s="202" t="str">
        <f t="shared" si="118"/>
        <v/>
      </c>
      <c r="IN42" s="202" t="str">
        <f t="shared" ca="1" si="119"/>
        <v/>
      </c>
      <c r="IO42" s="202" t="str">
        <f t="shared" ca="1" si="120"/>
        <v>StdDisziplinen[MaxTextSt]</v>
      </c>
      <c r="IP42" s="202" t="str">
        <f t="shared" ca="1" si="121"/>
        <v/>
      </c>
      <c r="IQ42" s="202" t="b">
        <f t="shared" si="122"/>
        <v>0</v>
      </c>
      <c r="IR42" s="242" t="str">
        <f t="shared" ca="1" si="15"/>
        <v>Drittes Gerät</v>
      </c>
      <c r="IS42" s="242" t="str">
        <f ca="1">IF(IR42=$IR$12,MID(Stammdaten!$AX$27,2,LEN(Stammdaten!$AX$27)),IF(IU42=$A$2,TRIM(Stammdaten!$AX$25),""))</f>
        <v>nicht durchgeführt</v>
      </c>
      <c r="IT42" s="242" t="str">
        <f t="shared" ca="1" si="16"/>
        <v/>
      </c>
      <c r="IU42" s="200" t="str">
        <f t="shared" si="17"/>
        <v/>
      </c>
      <c r="IV42" s="202" t="str">
        <f t="shared" si="123"/>
        <v/>
      </c>
      <c r="IW42" s="202" t="str">
        <f t="shared" ca="1" si="124"/>
        <v/>
      </c>
      <c r="IX42" s="202" t="str">
        <f t="shared" ca="1" si="125"/>
        <v>StdDisziplinen[MaxTextSt]</v>
      </c>
      <c r="IY42" s="202" t="str">
        <f t="shared" ca="1" si="18"/>
        <v/>
      </c>
      <c r="IZ42" s="200" t="str">
        <f>IF(NOT(GW42),INDEX(StdFehler[StdFehler],4),IF(COUNTIF(GX42:GZ42,$A$2)&gt;=$IZ$4,$A$3,SUM(GX42:GZ42)))</f>
        <v>Zu wenige Noten</v>
      </c>
      <c r="JA42" s="31"/>
      <c r="JB42" s="587" t="e">
        <f t="shared" si="19"/>
        <v>#VALUE!</v>
      </c>
      <c r="JC42" s="191" t="str">
        <f>IF(OR(Geschlecht[[#This Row],[Geschlecht (Skala)]]="",IZ42=""),"",MID(Geschlecht[[#This Row],[Geschlecht (Skala)]],1,1)&amp;MID($FE$16,1,1))</f>
        <v/>
      </c>
      <c r="JD42" s="190" t="str">
        <f>IF(OR(JC42="",IZ42=""),"",REPLACE(INDEX(StdDisziplinen[TabÜberschriftResultat],$FE$3),FIND("X",INDEX(StdDisziplinen[TabÜberschriftResultat],$FE$3),1),2,JC42))</f>
        <v/>
      </c>
      <c r="JE42" s="192" t="str">
        <f ca="1">IF(OR(JD42="",IZ42=Stammdaten!$AZ$5),"",IF(OR(IZ42=Stammdaten!$AX$22,IZ42=Stammdaten!$AX$19),Stammdaten!$AX$19,IF(ISNA(INDEX(INDIRECT(JD42),MATCH(GeräteturnenGerundet[[#This Row],[Rundung]],INDIRECT(JD42),$JD$16))),IF($JD$16=-1,LARGE(INDIRECT(JD42),1),SMALL(INDIRECT(JD42),1)),INDEX(INDIRECT(JD42),MATCH(GeräteturnenGerundet[[#This Row],[Rundung]],INDIRECT(JD42),$JD$16)))))</f>
        <v/>
      </c>
      <c r="JG42" s="18" t="str">
        <f ca="1">IF(GeräteturnenSkalawert[[#This Row],[Skala-Wert]]="","",REPLACE(INDEX(StdDisziplinen[TabÜberschriftNote],$FE$3),FIND("X",INDEX(StdDisziplinen[TabÜberschriftNote],$FE$3),1),2,JC42))</f>
        <v/>
      </c>
      <c r="JH42" s="45" t="str">
        <f ca="1">IF(OR(JG42="",GeräteturnenSkalawert[[#This Row],[Skala-Wert]]=Stammdaten!$AX$19),"",INDEX(INDIRECT(JG42),MATCH(GeräteturnenSkalawert[[#This Row],[Skala-Wert]],INDIRECT(JD42),0)))</f>
        <v/>
      </c>
      <c r="JI42" s="31"/>
      <c r="JJ42" s="597"/>
      <c r="JK42" s="190"/>
      <c r="JL42" s="587">
        <f>IF(JL$16,IF(JM$16=0.5,MROUND(ParkourResultat[[#This Row],[Resultat]],JM$16),ROUND(ParkourResultat[[#This Row],[Resultat]],JM$16)),ROUNDDOWN(ParkourResultat[[#This Row],[Resultat]],JM$16))</f>
        <v>0</v>
      </c>
      <c r="JM42" s="191" t="str">
        <f>IF(OR(Geschlecht[[#This Row],[Geschlecht (Skala)]]="",JJ$16=""),"",MID(Geschlecht[[#This Row],[Geschlecht (Skala)]],1,1)&amp;MID(JJ$16,1,1))</f>
        <v/>
      </c>
      <c r="JN42" s="190" t="str">
        <f>IF(OR(JM42="",ParkourResultat[[#This Row],[Resultat]]=""),"",REPLACE(INDEX(StdDisziplinen[TabÜberschriftResultat],JJ$3),FIND("X",INDEX(StdDisziplinen[TabÜberschriftResultat],JJ$3),1),2,JM42))</f>
        <v/>
      </c>
      <c r="JO42" s="192" t="str">
        <f ca="1">IF(JN42="","",IF(OR(ParkourResultat[[#This Row],[Resultat]]=Stammdaten!$AX$22,ParkourResultat[[#This Row],[Resultat]]=Stammdaten!$AX$19),Stammdaten!$AX$19,IF(ISNA(INDEX(INDIRECT(JN42),MATCH(ParkourGerundet[[#This Row],[Rundung]],INDIRECT(JN42),JN$18))),IF(JN$18=-1,LARGE(INDIRECT(JN42),1),SMALL(INDIRECT(JN42),1)),INDEX(INDIRECT(JN42),MATCH(ParkourGerundet[[#This Row],[Rundung]],INDIRECT(JN42),JN$18)))))</f>
        <v/>
      </c>
      <c r="JQ42" s="18" t="str">
        <f ca="1">IF(ParkourSkalawert[[#This Row],[Skala-Wert]]="","",REPLACE(INDEX(StdDisziplinen[TabÜberschriftNote],JJ$3),FIND("X",INDEX(StdDisziplinen[TabÜberschriftNote],JJ$3),1),2,JM42))</f>
        <v/>
      </c>
      <c r="JR42" s="31" t="str">
        <f ca="1">IF(OR(JQ42="",ParkourSkalawert[[#This Row],[Skala-Wert]]=Stammdaten!$AX$19),"",INDEX(INDIRECT(JQ42),MATCH(ParkourSkalawert[[#This Row],[Skala-Wert]],INDIRECT(JN42),0)))</f>
        <v/>
      </c>
      <c r="JS42" s="96"/>
      <c r="JT42" s="47" t="str">
        <f ca="1">IF(OR(ISNUMBER(ParkourSkalawert[[#This Row],[Skala-Wert]]),ParkourSkalawert[[#This Row],[Skala-Wert]]=$A$3),INDEX(INDIRECT($JU$1),MATCH($JJ$3,INDIRECT($B$5),0)),"")</f>
        <v/>
      </c>
      <c r="JU42" s="200" t="str">
        <f t="shared" ca="1" si="126"/>
        <v>StdDisziplinen[MaxTextSt]</v>
      </c>
      <c r="JV42" s="200" t="str">
        <f t="shared" ca="1" si="127"/>
        <v/>
      </c>
      <c r="JW42" s="98">
        <f ca="1">IF(GeräteturnenSkalawert[[#This Row],[Skala-Wert]]=$A$3,$A$2,IF(GeräteturnenNote[[#This Row],[Note]]="",0,GeräteturnenNote[[#This Row],[Note]]))</f>
        <v>0</v>
      </c>
      <c r="JX42" s="96">
        <f ca="1">IF(ParkourSkalawert[[#This Row],[Skala-Wert]]=$A$3,$A$2,IF(ParkourNote[[#This Row],[Note]]="",0,ParkourNote[[#This Row],[Note]]))</f>
        <v>0</v>
      </c>
      <c r="JY42" s="200">
        <f t="shared" ca="1" si="128"/>
        <v>0</v>
      </c>
      <c r="JZ42" s="200">
        <f t="shared" ca="1" si="129"/>
        <v>0</v>
      </c>
      <c r="KA42" s="202">
        <f t="shared" ca="1" si="130"/>
        <v>0</v>
      </c>
      <c r="KB42" s="98" t="str">
        <f t="shared" ca="1" si="20"/>
        <v>!</v>
      </c>
      <c r="KC42" s="98" t="str">
        <f t="shared" ca="1" si="21"/>
        <v>!</v>
      </c>
      <c r="KD42" s="202" t="str">
        <f ca="1">IF(NOT(KA42),INDEX(StdFehler[StdFehler],4),IF(JZ42=$KA$12,$A$3,IF(JW42=$A$2,JX42,IF(JX42=$A$2,JW42,CONCATENATE(JW42,", ",JX42)))))</f>
        <v>Zu wenige Noten</v>
      </c>
      <c r="KE42" s="202" t="str">
        <f t="shared" ca="1" si="131"/>
        <v>Zu wenige Noten</v>
      </c>
      <c r="KF42" s="31"/>
      <c r="KG42" s="56" t="str">
        <f ca="1">IF(NOT(KA42),INDEX(StdFehler[StdFehler],4),IF(JZ42=$KA$12,$A$3,ROUND(AVERAGE(KB42:KC42)/$KG$4,0)*$KG$4))</f>
        <v>Zu wenige Noten</v>
      </c>
      <c r="KH42" s="31"/>
      <c r="KI42" s="599"/>
      <c r="KJ42" s="190"/>
      <c r="KK42" s="586">
        <f>IF(KK$16,IF(KL$16=0.5,MROUND(TanzenResultat[[#This Row],[Resultat]],KL$16),ROUND(TanzenResultat[[#This Row],[Resultat]],KL$16)),ROUNDDOWN(TanzenResultat[[#This Row],[Resultat]],KL$16))</f>
        <v>0</v>
      </c>
      <c r="KL42" s="191" t="str">
        <f>IF(OR(Geschlecht[[#This Row],[Geschlecht (Skala)]]="",KI$16=""),"",MID(Geschlecht[[#This Row],[Geschlecht (Skala)]],1,1)&amp;MID(KI$16,1,1))</f>
        <v/>
      </c>
      <c r="KM42" s="190" t="str">
        <f>IF(OR(KL42="",TanzenResultat[[#This Row],[Resultat]]=""),"",REPLACE(INDEX(StdDisziplinen[TabÜberschriftResultat],KI$3),FIND("X",INDEX(StdDisziplinen[TabÜberschriftResultat],KI$3),1),2,KL42))</f>
        <v/>
      </c>
      <c r="KN42" s="31" t="str">
        <f ca="1">IF(KM42="","",IF(OR(TanzenResultat[[#This Row],[Resultat]]=Stammdaten!$AX$22,TanzenResultat[[#This Row],[Resultat]]=Stammdaten!$AX$19),Stammdaten!$AX$19,IF(ISNA(INDEX(INDIRECT(KM42),MATCH(TanzenGerundet[[#This Row],[Rundung]],INDIRECT(KM42),KM$18))),IF(KM$18=-1,LARGE(INDIRECT(KM42),1),SMALL(INDIRECT(KM42),1)),INDEX(INDIRECT(KM42),MATCH(TanzenGerundet[[#This Row],[Rundung]],INDIRECT(KM42),KM$18)))))</f>
        <v/>
      </c>
      <c r="KP42" s="18" t="str">
        <f ca="1">IF(TanzenSkalawert[[#This Row],[Skala-Wert]]="","",REPLACE(INDEX(StdDisziplinen[TabÜberschriftNote],KI$3),FIND("X",INDEX(StdDisziplinen[TabÜberschriftNote],KI$3),1),2,KL42))</f>
        <v/>
      </c>
      <c r="KQ42" s="45" t="str">
        <f ca="1">IF(OR(KP42="",TanzenSkalawert[[#This Row],[Skala-Wert]]=Stammdaten!$AX$19),"",INDEX(INDIRECT(KP42),MATCH(TanzenSkalawert[[#This Row],[Skala-Wert]],INDIRECT(KM42),0)))</f>
        <v/>
      </c>
      <c r="KR42" s="31"/>
      <c r="KS42" s="597"/>
      <c r="KT42" s="190"/>
      <c r="KU42" s="587">
        <f>IF(KU$16,IF(KV$16=0.5,MROUND(RopeSkippingResultat[[#This Row],[Resultat]],KV$16),ROUND(RopeSkippingResultat[[#This Row],[Resultat]],KV$16)),ROUNDDOWN(RopeSkippingResultat[[#This Row],[Resultat]],KV$16))</f>
        <v>0</v>
      </c>
      <c r="KV42" s="191" t="str">
        <f>IF(OR(Geschlecht[[#This Row],[Geschlecht (Skala)]]="",KS$16=""),"",MID(Geschlecht[[#This Row],[Geschlecht (Skala)]],1,1)&amp;MID(KS$16,1,1))</f>
        <v/>
      </c>
      <c r="KW42" s="190" t="str">
        <f>IF(OR(KV42="",RopeSkippingResultat[[#This Row],[Resultat]]=""),"",REPLACE(INDEX(StdDisziplinen[TabÜberschriftResultat],KS$3),FIND("X",INDEX(StdDisziplinen[TabÜberschriftResultat],KS$3),1),2,KV42))</f>
        <v/>
      </c>
      <c r="KX42" s="192" t="str">
        <f ca="1">IF(KW42="","",IF(OR(RopeSkippingResultat[[#This Row],[Resultat]]=Stammdaten!$AX$22,RopeSkippingResultat[[#This Row],[Resultat]]=Stammdaten!$AX$19),Stammdaten!$AX$19,IF(ISNA(INDEX(INDIRECT(KW42),MATCH(RopeSkippingGerundet[[#This Row],[Rundung]],INDIRECT(KW42),KW$18))),IF(KW$18=-1,LARGE(INDIRECT(KW42),1),SMALL(INDIRECT(KW42),1)),INDEX(INDIRECT(KW42),MATCH(RopeSkippingGerundet[[#This Row],[Rundung]],INDIRECT(KW42),KW$18)))))</f>
        <v/>
      </c>
      <c r="KZ42" s="18" t="str">
        <f ca="1">IF(RopeSkippingSkalawert[[#This Row],[Skala-Wert]]="","",REPLACE(INDEX(StdDisziplinen[TabÜberschriftNote],KS$3),FIND("X",INDEX(StdDisziplinen[TabÜberschriftNote],KS$3),1),2,KV42))</f>
        <v/>
      </c>
      <c r="LA42" s="45" t="str">
        <f ca="1">IF(OR(KZ42="",RopeSkippingSkalawert[[#This Row],[Skala-Wert]]=Stammdaten!$AX$19),"",INDEX(INDIRECT(KZ42),MATCH(RopeSkippingSkalawert[[#This Row],[Skala-Wert]],INDIRECT(KW42),0)))</f>
        <v/>
      </c>
      <c r="LB42" s="31"/>
      <c r="LC42" s="599"/>
      <c r="LD42" s="190"/>
      <c r="LE42" s="586">
        <f>IF(LE$16,IF(LF$16=0.5,MROUND(AerobicResultat[[#This Row],[Resultat]],LF$16),ROUND(AerobicResultat[[#This Row],[Resultat]],LF$16)),ROUNDDOWN(AerobicResultat[[#This Row],[Resultat]],LF$16))</f>
        <v>0</v>
      </c>
      <c r="LF42" s="191" t="str">
        <f>IF(OR(Geschlecht[[#This Row],[Geschlecht (Skala)]]="",LC$16=""),"",MID(Geschlecht[[#This Row],[Geschlecht (Skala)]],1,1)&amp;MID(LC$16,1,1))</f>
        <v/>
      </c>
      <c r="LG42" s="190" t="str">
        <f>IF(OR(LF42="",AerobicResultat[[#This Row],[Resultat]]=""),"",REPLACE(INDEX(StdDisziplinen[TabÜberschriftResultat],LC$3),FIND("X",INDEX(StdDisziplinen[TabÜberschriftResultat],LC$3),1),2,LF42))</f>
        <v/>
      </c>
      <c r="LH42" s="31" t="str">
        <f ca="1">IF(LG42="","",IF(OR(AerobicResultat[[#This Row],[Resultat]]=Stammdaten!$AX$22,AerobicResultat[[#This Row],[Resultat]]=Stammdaten!$AX$19),Stammdaten!$AX$19,IF(ISNA(INDEX(INDIRECT(LG42),MATCH(AerobicGerundet[[#This Row],[Rundung]],INDIRECT(LG42),LG$18))),IF(LG$18=-1,LARGE(INDIRECT(LG42),1),SMALL(INDIRECT(LG42),1)),INDEX(INDIRECT(LG42),MATCH(AerobicGerundet[[#This Row],[Rundung]],INDIRECT(LG42),LG$18)))))</f>
        <v/>
      </c>
      <c r="LJ42" s="18" t="str">
        <f ca="1">IF(AerobicSkalawert[[#This Row],[Skala-Wert]]="","",REPLACE(INDEX(StdDisziplinen[TabÜberschriftNote],LC$3),FIND("X",INDEX(StdDisziplinen[TabÜberschriftNote],LC$3),1),2,LF42))</f>
        <v/>
      </c>
      <c r="LK42" s="45" t="str">
        <f ca="1">IF(OR(LJ42="",AerobicSkalawert[[#This Row],[Skala-Wert]]=Stammdaten!$AX$19),"",INDEX(INDIRECT(LJ42),MATCH(AerobicSkalawert[[#This Row],[Skala-Wert]],INDIRECT(LG42),0)))</f>
        <v/>
      </c>
      <c r="LL42" s="31"/>
      <c r="LM42" s="45" t="str">
        <f ca="1">IF(TanzenSkalawert[[#This Row],[Skala-Wert]]=$A$3,$A$2,IF(ISNUMBER(TanzenSkalawert[[#This Row],[Skala-Wert]]),TanzenNote[[#This Row],[Note]],"!"))</f>
        <v>!</v>
      </c>
      <c r="LN42" s="45" t="str">
        <f ca="1">IF(RopeSkippingSkalawert[[#This Row],[Skala-Wert]]=$A$3,$A$2,IF(ISNUMBER(RopeSkippingSkalawert[[#This Row],[Skala-Wert]]),RopeSkippingNote[[#This Row],[Note]],"!"))</f>
        <v>!</v>
      </c>
      <c r="LO42" s="45" t="str">
        <f ca="1">IF(AerobicSkalawert[[#This Row],[Skala-Wert]]=$A$3,$A$2,IF(ISNUMBER(AerobicSkalawert[[#This Row],[Skala-Wert]]),AerobicNote[[#This Row],[Note]],"!"))</f>
        <v>!</v>
      </c>
      <c r="LP42" s="36">
        <f t="shared" ca="1" si="132"/>
        <v>0</v>
      </c>
      <c r="LQ42" s="36">
        <f t="shared" ca="1" si="133"/>
        <v>0</v>
      </c>
      <c r="LR42" s="244" t="str">
        <f t="shared" ca="1" si="22"/>
        <v>nd</v>
      </c>
      <c r="LS42" s="244" t="str">
        <f t="shared" ca="1" si="23"/>
        <v>nd</v>
      </c>
      <c r="LT42" s="244" t="str">
        <f t="shared" ca="1" si="24"/>
        <v>nd</v>
      </c>
      <c r="LU42" s="242" t="str">
        <f t="shared" ca="1" si="25"/>
        <v/>
      </c>
      <c r="LV42" s="242" t="str">
        <f t="shared" ca="1" si="134"/>
        <v/>
      </c>
      <c r="LW42" s="242" t="str">
        <f t="shared" ca="1" si="135"/>
        <v/>
      </c>
      <c r="LX42" s="242" t="str">
        <f ca="1">IF(LW42="",Stammdaten!$AM$4,INDEX(INDIRECT($B$4),MATCH($LW42,INDIRECT($B$5),0)))</f>
        <v>Darstellen und Tanzen</v>
      </c>
      <c r="LY42" s="242" t="str">
        <f ca="1">IF(LW42="",Stammdaten!$AY$27,IF(ISNUMBER(LU42),LX42,IF(ISNUMBER(LV42),TRIM(Stammdaten!$AX$25),"")))</f>
        <v>nicht durchgeführt</v>
      </c>
      <c r="LZ42" s="242" t="str">
        <f t="shared" ca="1" si="136"/>
        <v>Darstellen und Tanzen</v>
      </c>
      <c r="MA42" s="242" t="str">
        <f t="shared" ca="1" si="137"/>
        <v/>
      </c>
      <c r="MB42" s="242" t="str">
        <f t="shared" ca="1" si="26"/>
        <v>Darstellen und TanzenResultat[@Resultat]</v>
      </c>
      <c r="MC42" s="274" t="str">
        <f t="shared" ca="1" si="138"/>
        <v/>
      </c>
      <c r="MD42" s="242" t="str">
        <f t="shared" ca="1" si="139"/>
        <v>Darstellen und TanzenSkalawert[@[Skala-Wert]]</v>
      </c>
      <c r="ME42" s="274" t="str">
        <f t="shared" ca="1" si="140"/>
        <v/>
      </c>
      <c r="MF42" s="47" t="str">
        <f t="shared" ca="1" si="27"/>
        <v/>
      </c>
      <c r="MG42" s="200" t="str">
        <f t="shared" ca="1" si="141"/>
        <v>StdDisziplinen[MaxTextSt]</v>
      </c>
      <c r="MH42" s="200" t="str">
        <f t="shared" ca="1" si="142"/>
        <v/>
      </c>
      <c r="MI42" s="45"/>
      <c r="MJ42" s="98" t="str">
        <f ca="1">IF(LP42&gt;0,MAX(LM42:LO42),IF(LQ42&gt;0,$A$3,INDEX(StdFehler[StdFehler],4)))</f>
        <v>Zu wenige Noten</v>
      </c>
      <c r="MK42" s="45"/>
      <c r="ML42" s="37"/>
      <c r="MM42" s="190"/>
      <c r="MN42" s="586">
        <f>IF(MN$16,IF(MO$16=0.5,MROUND(BasketballResultat[[#This Row],[Resultat]],MO$16),ROUND(BasketballResultat[[#This Row],[Resultat]],MO$16)),ROUNDDOWN(BasketballResultat[[#This Row],[Resultat]],MO$16))</f>
        <v>0</v>
      </c>
      <c r="MO42" s="191" t="str">
        <f>IF(OR(Geschlecht[[#This Row],[Geschlecht (Skala)]]="",ML$16=""),"",MID(Geschlecht[[#This Row],[Geschlecht (Skala)]],1,1)&amp;MID(ML$16,1,1))</f>
        <v/>
      </c>
      <c r="MP42" s="190" t="str">
        <f>IF(OR(MO42="",BasketballResultat[[#This Row],[Resultat]]=""),"",REPLACE(INDEX(StdDisziplinen[TabÜberschriftResultat],ML$3),FIND("X",INDEX(StdDisziplinen[TabÜberschriftResultat],ML$3),1),2,MO42))</f>
        <v/>
      </c>
      <c r="MQ42" s="31" t="str">
        <f ca="1">IF(MP42="","",IF(OR(BasketballResultat[[#This Row],[Resultat]]=Stammdaten!$AX$22,BasketballResultat[[#This Row],[Resultat]]=Stammdaten!$AX$19),Stammdaten!$AX$19,IF(ISNA(INDEX(INDIRECT(MP42),MATCH(BasketballGerundet[[#This Row],[Rundung]],INDIRECT(MP42),MP$18))),IF(MP$18=-1,LARGE(INDIRECT(MP42),1),SMALL(INDIRECT(MP42),1)),INDEX(INDIRECT(MP42),MATCH(BasketballGerundet[[#This Row],[Rundung]],INDIRECT(MP42),MP$18)))))</f>
        <v/>
      </c>
      <c r="MS42" s="18" t="str">
        <f ca="1">IF(BasketballSkalawert[[#This Row],[Skala-Wert]]="","",REPLACE(INDEX(StdDisziplinen[TabÜberschriftNote],ML$3),FIND("X",INDEX(StdDisziplinen[TabÜberschriftNote],ML$3),1),2,MO42))</f>
        <v/>
      </c>
      <c r="MT42" s="31" t="str">
        <f ca="1">IF(OR(MS42="",BasketballSkalawert[[#This Row],[Skala-Wert]]=Stammdaten!$AX$19),"",INDEX(INDIRECT(MS42),MATCH(BasketballSkalawert[[#This Row],[Skala-Wert]],INDIRECT(MP42),0)))</f>
        <v/>
      </c>
      <c r="MU42" s="31"/>
      <c r="MV42" s="37"/>
      <c r="MW42" s="190"/>
      <c r="MX42" s="586">
        <f>IF(MX$16,IF(MY$16=0.5,MROUND(FussballResultat[[#This Row],[Resultat]],MY$16),ROUND(FussballResultat[[#This Row],[Resultat]],MY$16)),ROUNDDOWN(FussballResultat[[#This Row],[Resultat]],MY$16))</f>
        <v>0</v>
      </c>
      <c r="MY42" s="191" t="str">
        <f>IF(OR(Geschlecht[[#This Row],[Geschlecht (Skala)]]="",MV$16=""),"",MID(Geschlecht[[#This Row],[Geschlecht (Skala)]],1,1)&amp;MID(MV$16,1,1))</f>
        <v/>
      </c>
      <c r="MZ42" s="190" t="str">
        <f>IF(OR(MY42="",FussballResultat[[#This Row],[Resultat]]=""),"",REPLACE(INDEX(StdDisziplinen[TabÜberschriftResultat],MV$3),FIND("X",INDEX(StdDisziplinen[TabÜberschriftResultat],MV$3),1),2,MY42))</f>
        <v/>
      </c>
      <c r="NA42" s="31" t="str">
        <f ca="1">IF(MZ42="","",IF(OR(FussballResultat[[#This Row],[Resultat]]=Stammdaten!$AX$22,FussballResultat[[#This Row],[Resultat]]=Stammdaten!$AX$19),Stammdaten!$AX$19,IF(ISNA(INDEX(INDIRECT(MZ42),MATCH(FussballGerundet[[#This Row],[Rundung]],INDIRECT(MZ42),MZ$18))),IF(MZ$18=-1,LARGE(INDIRECT(MZ42),1),SMALL(INDIRECT(MZ42),1)),INDEX(INDIRECT(MZ42),MATCH(FussballGerundet[[#This Row],[Rundung]],INDIRECT(MZ42),MZ$18)))))</f>
        <v/>
      </c>
      <c r="NC42" s="18" t="str">
        <f ca="1">IF(FussballSkalawert[[#This Row],[Skala-Wert]]="","",REPLACE(INDEX(StdDisziplinen[TabÜberschriftNote],MV$3),FIND("X",INDEX(StdDisziplinen[TabÜberschriftNote],MV$3),1),2,MY42))</f>
        <v/>
      </c>
      <c r="ND42" s="31" t="str">
        <f ca="1">IF(OR(NC42="",FussballSkalawert[[#This Row],[Skala-Wert]]=Stammdaten!$AX$19),"",INDEX(INDIRECT(NC42),MATCH(FussballSkalawert[[#This Row],[Skala-Wert]],INDIRECT(MZ42),0)))</f>
        <v/>
      </c>
      <c r="NE42" s="31"/>
      <c r="NF42" s="37"/>
      <c r="NG42" s="190"/>
      <c r="NH42" s="586">
        <f>IF(NH$16,IF(NI$16=0.5,MROUND(HandballResultat[[#This Row],[Resultat]],NI$16),ROUND(HandballResultat[[#This Row],[Resultat]],NI$16)),ROUNDDOWN(HandballResultat[[#This Row],[Resultat]],NI$16))</f>
        <v>0</v>
      </c>
      <c r="NI42" s="191" t="str">
        <f>IF(OR(Geschlecht[[#This Row],[Geschlecht (Skala)]]="",NF$16=""),"",MID(Geschlecht[[#This Row],[Geschlecht (Skala)]],1,1)&amp;MID(NF$16,1,1))</f>
        <v/>
      </c>
      <c r="NJ42" s="190" t="str">
        <f>IF(OR(NI42="",HandballResultat[[#This Row],[Resultat]]=""),"",REPLACE(INDEX(StdDisziplinen[TabÜberschriftResultat],NF$3),FIND("X",INDEX(StdDisziplinen[TabÜberschriftResultat],NF$3),1),2,NI42))</f>
        <v/>
      </c>
      <c r="NK42" s="31" t="str">
        <f ca="1">IF(NJ42="","",IF(OR(HandballResultat[[#This Row],[Resultat]]=Stammdaten!$AX$22,HandballResultat[[#This Row],[Resultat]]=Stammdaten!$AX$19),Stammdaten!$AX$19,IF(ISNA(INDEX(INDIRECT(NJ42),MATCH(HandballGerundet[[#This Row],[Rundung]],INDIRECT(NJ42),NJ$18))),IF(NJ$18=-1,LARGE(INDIRECT(NJ42),1),SMALL(INDIRECT(NJ42),1)),INDEX(INDIRECT(NJ42),MATCH(HandballGerundet[[#This Row],[Rundung]],INDIRECT(NJ42),NJ$18)))))</f>
        <v/>
      </c>
      <c r="NM42" s="18" t="str">
        <f ca="1">IF(HandballSkalawert[[#This Row],[Skala-Wert]]="","",REPLACE(INDEX(StdDisziplinen[TabÜberschriftNote],NF$3),FIND("X",INDEX(StdDisziplinen[TabÜberschriftNote],NF$3),1),2,NI42))</f>
        <v/>
      </c>
      <c r="NN42" s="31" t="str">
        <f ca="1">IF(OR(NM42="",HandballSkalawert[[#This Row],[Skala-Wert]]=Stammdaten!$AX$19),"",INDEX(INDIRECT(NM42),MATCH(HandballSkalawert[[#This Row],[Skala-Wert]],INDIRECT(NJ42),0)))</f>
        <v/>
      </c>
      <c r="NO42" s="31"/>
      <c r="NP42" s="37"/>
      <c r="NQ42" s="190"/>
      <c r="NR42" s="586">
        <f>IF(NR$16,IF(NS$16=0.5,MROUND(UnihockeyResultat[[#This Row],[Resultat]],NS$16),ROUND(UnihockeyResultat[[#This Row],[Resultat]],NS$16)),ROUNDDOWN(UnihockeyResultat[[#This Row],[Resultat]],NS$16))</f>
        <v>0</v>
      </c>
      <c r="NS42" s="191" t="str">
        <f>IF(OR(Geschlecht[[#This Row],[Geschlecht (Skala)]]="",NP$16=""),"",MID(Geschlecht[[#This Row],[Geschlecht (Skala)]],1,1)&amp;MID(NP$16,1,1))</f>
        <v/>
      </c>
      <c r="NT42" s="190" t="str">
        <f>IF(OR(NS42="",UnihockeyResultat[[#This Row],[Resultat]]=""),"",REPLACE(INDEX(StdDisziplinen[TabÜberschriftResultat],NP$3),FIND("X",INDEX(StdDisziplinen[TabÜberschriftResultat],NP$3),1),2,NS42))</f>
        <v/>
      </c>
      <c r="NU42" s="31" t="str">
        <f ca="1">IF(NT42="","",IF(OR(UnihockeyResultat[[#This Row],[Resultat]]=Stammdaten!$AX$22,UnihockeyResultat[[#This Row],[Resultat]]=Stammdaten!$AX$19),Stammdaten!$AX$19,IF(ISNA(INDEX(INDIRECT(NT42),MATCH(UnihockeyGerundet[[#This Row],[Rundung]],INDIRECT(NT42),NT$18))),IF(NT$18=-1,LARGE(INDIRECT(NT42),1),SMALL(INDIRECT(NT42),1)),INDEX(INDIRECT(NT42),MATCH(UnihockeyGerundet[[#This Row],[Rundung]],INDIRECT(NT42),NT$18)))))</f>
        <v/>
      </c>
      <c r="NW42" s="18" t="str">
        <f ca="1">IF(UnihockeySkalawert[[#This Row],[Skala-Wert]]="","",REPLACE(INDEX(StdDisziplinen[TabÜberschriftNote],NP$3),FIND("X",INDEX(StdDisziplinen[TabÜberschriftNote],NP$3),1),2,NS42))</f>
        <v/>
      </c>
      <c r="NX42" s="31" t="str">
        <f ca="1">IF(OR(NW42="",UnihockeySkalawert[[#This Row],[Skala-Wert]]=Stammdaten!$AX$19),"",INDEX(INDIRECT(NW42),MATCH(UnihockeySkalawert[[#This Row],[Skala-Wert]],INDIRECT(NT42),0)))</f>
        <v/>
      </c>
      <c r="NY42" s="31"/>
      <c r="NZ42" s="597"/>
      <c r="OA42" s="190"/>
      <c r="OB42" s="587">
        <f>IF(OB$16,IF(OC$16=0.5,MROUND(VolleyballResultat[[#This Row],[Resultat]],OC$16),ROUND(VolleyballResultat[[#This Row],[Resultat]],OC$16)),ROUNDDOWN(VolleyballResultat[[#This Row],[Resultat]],OC$16))</f>
        <v>0</v>
      </c>
      <c r="OC42" s="191" t="str">
        <f>IF(OR(Geschlecht[[#This Row],[Geschlecht (Skala)]]="",NZ$16=""),"",MID(Geschlecht[[#This Row],[Geschlecht (Skala)]],1,1)&amp;MID(NZ$16,1,1))</f>
        <v/>
      </c>
      <c r="OD42" s="190" t="str">
        <f>IF(OR(OC42="",VolleyballResultat[[#This Row],[Resultat]]=""),"",REPLACE(INDEX(StdDisziplinen[TabÜberschriftResultat],NZ$3),FIND("X",INDEX(StdDisziplinen[TabÜberschriftResultat],NZ$3),1),2,OC42))</f>
        <v/>
      </c>
      <c r="OE42" s="192" t="str">
        <f ca="1">IF(OD42="","",IF(OR(VolleyballResultat[[#This Row],[Resultat]]=Stammdaten!$AX$22,VolleyballResultat[[#This Row],[Resultat]]=Stammdaten!$AX$19),Stammdaten!$AX$19,IF(ISNA(INDEX(INDIRECT(OD42),MATCH(VolleyballGerundet[[#This Row],[Rundung]],INDIRECT(OD42),OD$18))),IF(OD$18=-1,LARGE(INDIRECT(OD42),1),SMALL(INDIRECT(OD42),1)),INDEX(INDIRECT(OD42),MATCH(VolleyballGerundet[[#This Row],[Rundung]],INDIRECT(OD42),OD$18)))))</f>
        <v/>
      </c>
      <c r="OG42" s="18" t="str">
        <f ca="1">IF(VolleyballSkalawert[[#This Row],[Skala-Wert]]="","",REPLACE(INDEX(StdDisziplinen[TabÜberschriftNote],NZ$3),FIND("X",INDEX(StdDisziplinen[TabÜberschriftNote],NZ$3),1),2,OC42))</f>
        <v/>
      </c>
      <c r="OH42" s="31" t="str">
        <f ca="1">IF(OR(OG42="",VolleyballSkalawert[[#This Row],[Skala-Wert]]=Stammdaten!$AX$19),"",INDEX(INDIRECT(OG42),MATCH(VolleyballSkalawert[[#This Row],[Skala-Wert]],INDIRECT(OD42),0)))</f>
        <v/>
      </c>
      <c r="OI42" s="45"/>
      <c r="OJ42" s="31">
        <f ca="1">IF(BasketballSkalawert[[#This Row],[Skala-Wert]]=$A$3,$A$2,IF(BasketballNote[[#This Row],[Note]]="",0,BasketballNote[[#This Row],[Note]]))</f>
        <v>0</v>
      </c>
      <c r="OK42" s="31">
        <f ca="1">IF(FussballSkalawert[[#This Row],[Skala-Wert]]=$A$3,$A$2,IF(FussballNote[[#This Row],[Note]]="",0,FussballNote[[#This Row],[Note]]))</f>
        <v>0</v>
      </c>
      <c r="OL42" s="31">
        <f ca="1">IF(HandballSkalawert[[#This Row],[Skala-Wert]]=$A$3,$A$2,IF(HandballNote[[#This Row],[Note]]="",0,HandballNote[[#This Row],[Note]]))</f>
        <v>0</v>
      </c>
      <c r="OM42" s="31">
        <f ca="1">IF(UnihockeySkalawert[[#This Row],[Skala-Wert]]=$A$3,$A$2,IF(UnihockeyNote[[#This Row],[Note]]="",0,UnihockeyNote[[#This Row],[Note]]))</f>
        <v>0</v>
      </c>
      <c r="ON42" s="31">
        <f ca="1">IF(VolleyballSkalawert[[#This Row],[Skala-Wert]]=$A$3,$A$2,IF(VolleyballNote[[#This Row],[Note]]="",0,VolleyballNote[[#This Row],[Note]]))</f>
        <v>0</v>
      </c>
      <c r="OO42" s="202">
        <f t="shared" ca="1" si="28"/>
        <v>0</v>
      </c>
      <c r="OP42" s="202">
        <f t="shared" ca="1" si="29"/>
        <v>0</v>
      </c>
      <c r="OQ42" s="202">
        <f t="shared" ca="1" si="143"/>
        <v>0</v>
      </c>
      <c r="OR42" s="96" t="str">
        <f t="shared" ca="1" si="144"/>
        <v>!</v>
      </c>
      <c r="OS42" s="96" t="str">
        <f t="shared" ca="1" si="30"/>
        <v>!</v>
      </c>
      <c r="OT42" s="96" t="str">
        <f t="shared" ca="1" si="31"/>
        <v>!</v>
      </c>
      <c r="OU42" s="96" t="str">
        <f ca="1">IF(NOT(OQ42),INDEX(StdFehler[StdFehler],4),IF(COUNTIF(OR42:OT42,$A$2)&gt;=$OQ$13,$A$3,ROUND(AVERAGE(OR42:OT42)/$RX$4,0)*$RX$4))</f>
        <v>Zu wenige Noten</v>
      </c>
      <c r="OV42" s="244" t="str">
        <f t="shared" ca="1" si="145"/>
        <v>nd</v>
      </c>
      <c r="OW42" s="244" t="str">
        <f t="shared" ca="1" si="146"/>
        <v>nd</v>
      </c>
      <c r="OX42" s="244" t="str">
        <f t="shared" ca="1" si="147"/>
        <v>nd</v>
      </c>
      <c r="OY42" s="244" t="str">
        <f t="shared" ca="1" si="148"/>
        <v>nd</v>
      </c>
      <c r="OZ42" s="244" t="str">
        <f t="shared" ca="1" si="149"/>
        <v>nd</v>
      </c>
      <c r="PA42" s="202" t="b">
        <f t="shared" ca="1" si="150"/>
        <v>0</v>
      </c>
      <c r="PB42" s="202">
        <f t="shared" ca="1" si="151"/>
        <v>1</v>
      </c>
      <c r="PC42" s="202">
        <f t="shared" ca="1" si="152"/>
        <v>0</v>
      </c>
      <c r="PD42" s="96" t="str">
        <f t="shared" ca="1" si="153"/>
        <v/>
      </c>
      <c r="PE42" s="96" t="str">
        <f t="shared" ca="1" si="154"/>
        <v/>
      </c>
      <c r="PF42" s="200">
        <f t="shared" ca="1" si="155"/>
        <v>0</v>
      </c>
      <c r="PG42" s="202" t="str">
        <f t="shared" ca="1" si="156"/>
        <v/>
      </c>
      <c r="PH42" s="200" t="str">
        <f t="shared" ca="1" si="157"/>
        <v/>
      </c>
      <c r="PI42" s="200" t="str">
        <f t="shared" ca="1" si="158"/>
        <v/>
      </c>
      <c r="PJ42" s="200" t="str">
        <f t="shared" ca="1" si="159"/>
        <v/>
      </c>
      <c r="PK42" s="242" t="str">
        <f t="shared" ca="1" si="160"/>
        <v/>
      </c>
      <c r="PL42" s="242" t="str">
        <f t="shared" ca="1" si="161"/>
        <v/>
      </c>
      <c r="PM42" s="242" t="str">
        <f t="shared" ca="1" si="162"/>
        <v/>
      </c>
      <c r="PN42" s="242" t="str">
        <f t="shared" ca="1" si="163"/>
        <v>Erste Spielsportart</v>
      </c>
      <c r="PO42" s="242" t="str">
        <f ca="1">IF(PN42=$PM$11,Stammdaten!$AY$27,IF(PR42=$A$2,TRIM(Stammdaten!$AX$25),""))</f>
        <v>nicht durchgeführt</v>
      </c>
      <c r="PP42" s="242" t="str">
        <f t="shared" ca="1" si="164"/>
        <v/>
      </c>
      <c r="PQ42" s="202" t="str">
        <f t="shared" ca="1" si="165"/>
        <v>Erste SpielsportartResultat[@Resultat]</v>
      </c>
      <c r="PR42" s="98" t="str">
        <f t="shared" ca="1" si="166"/>
        <v/>
      </c>
      <c r="PS42" s="202" t="str">
        <f t="shared" ca="1" si="167"/>
        <v/>
      </c>
      <c r="PT42" s="202" t="str">
        <f t="shared" ca="1" si="168"/>
        <v>Erste SpielsportartSkalawert[@[Skala-Wert]]</v>
      </c>
      <c r="PU42" s="98" t="str">
        <f t="shared" ca="1" si="169"/>
        <v/>
      </c>
      <c r="PV42" s="202" t="str">
        <f t="shared" ca="1" si="170"/>
        <v/>
      </c>
      <c r="PW42" s="202" t="str">
        <f t="shared" ca="1" si="171"/>
        <v/>
      </c>
      <c r="PX42" s="202" t="str">
        <f t="shared" ca="1" si="172"/>
        <v>StdDisziplinen[MaxTextSt]</v>
      </c>
      <c r="PY42" s="202" t="str">
        <f t="shared" ca="1" si="173"/>
        <v/>
      </c>
      <c r="PZ42" s="202" t="b">
        <f t="shared" ca="1" si="174"/>
        <v>0</v>
      </c>
      <c r="QA42" s="202" t="str">
        <f t="shared" ca="1" si="175"/>
        <v/>
      </c>
      <c r="QB42" s="202" t="str">
        <f t="shared" ca="1" si="32"/>
        <v/>
      </c>
      <c r="QC42" s="202" t="str">
        <f t="shared" ca="1" si="176"/>
        <v/>
      </c>
      <c r="QD42" s="202" t="str">
        <f t="shared" ca="1" si="177"/>
        <v/>
      </c>
      <c r="QE42" s="242" t="str">
        <f t="shared" ca="1" si="178"/>
        <v/>
      </c>
      <c r="QF42" s="242" t="str">
        <f t="shared" ca="1" si="179"/>
        <v/>
      </c>
      <c r="QG42" s="242" t="str">
        <f t="shared" ca="1" si="180"/>
        <v>Zweite Spielsportart</v>
      </c>
      <c r="QH42" s="242" t="str">
        <f ca="1">IF(QG42=$QF$11,Stammdaten!$AY$27,IF(QK42=$A$2,TRIM(Stammdaten!$AX$25),""))</f>
        <v>nicht durchgeführt</v>
      </c>
      <c r="QI42" s="242" t="str">
        <f t="shared" ca="1" si="181"/>
        <v/>
      </c>
      <c r="QJ42" s="202" t="str">
        <f t="shared" ca="1" si="182"/>
        <v>Zweite SpielsportartResultat[@Resultat]</v>
      </c>
      <c r="QK42" s="98" t="str">
        <f t="shared" ca="1" si="183"/>
        <v/>
      </c>
      <c r="QL42" s="202" t="str">
        <f t="shared" ca="1" si="184"/>
        <v/>
      </c>
      <c r="QM42" s="202" t="str">
        <f t="shared" ca="1" si="185"/>
        <v>Zweite SpielsportartSkalawert[@[Skala-Wert]]</v>
      </c>
      <c r="QN42" s="98" t="str">
        <f t="shared" ca="1" si="186"/>
        <v/>
      </c>
      <c r="QO42" s="202" t="str">
        <f t="shared" ca="1" si="187"/>
        <v/>
      </c>
      <c r="QP42" s="202" t="str">
        <f t="shared" ca="1" si="188"/>
        <v/>
      </c>
      <c r="QQ42" s="202" t="str">
        <f t="shared" ca="1" si="189"/>
        <v>StdDisziplinen[MaxTextSt]</v>
      </c>
      <c r="QR42" s="202" t="str">
        <f t="shared" ca="1" si="190"/>
        <v/>
      </c>
      <c r="QS42" s="202" t="b">
        <f t="shared" ca="1" si="191"/>
        <v>0</v>
      </c>
      <c r="QT42" s="242" t="str">
        <f t="shared" ca="1" si="33"/>
        <v>Dritte Spielsportart</v>
      </c>
      <c r="QU42" s="242" t="str">
        <f ca="1">IF(QT42=$QT$11,MID(Stammdaten!$AX$27,2,LEN(Stammdaten!$AX$27)),IF(QX42=$A$2,TRIM(Stammdaten!$AX$25),""))</f>
        <v>nicht durchgeführt</v>
      </c>
      <c r="QV42" s="242" t="str">
        <f t="shared" ca="1" si="34"/>
        <v/>
      </c>
      <c r="QW42" s="202" t="str">
        <f t="shared" ca="1" si="192"/>
        <v>Dritte SpielsportartResultat[@Resultat]</v>
      </c>
      <c r="QX42" s="98" t="str">
        <f t="shared" ca="1" si="193"/>
        <v/>
      </c>
      <c r="QY42" s="202" t="str">
        <f t="shared" ca="1" si="35"/>
        <v/>
      </c>
      <c r="QZ42" s="202" t="str">
        <f t="shared" ca="1" si="194"/>
        <v>Dritte SpielsportartSkalawert[@[Skala-Wert]]</v>
      </c>
      <c r="RA42" s="98" t="str">
        <f t="shared" ca="1" si="224"/>
        <v/>
      </c>
      <c r="RB42" s="202" t="str">
        <f t="shared" ca="1" si="36"/>
        <v/>
      </c>
      <c r="RC42" s="202" t="str">
        <f t="shared" ca="1" si="196"/>
        <v/>
      </c>
      <c r="RD42" s="202" t="str">
        <f t="shared" ca="1" si="197"/>
        <v>StdDisziplinen[MaxTextSt]</v>
      </c>
      <c r="RE42" s="202" t="str">
        <f t="shared" ca="1" si="37"/>
        <v/>
      </c>
      <c r="RF42" s="244">
        <f t="shared" ca="1" si="38"/>
        <v>99</v>
      </c>
      <c r="RG42" s="244">
        <f t="shared" ca="1" si="39"/>
        <v>99</v>
      </c>
      <c r="RH42" s="244">
        <f t="shared" ca="1" si="40"/>
        <v>99</v>
      </c>
      <c r="RI42" s="244">
        <f t="shared" ca="1" si="41"/>
        <v>99</v>
      </c>
      <c r="RJ42" s="244">
        <f t="shared" ca="1" si="42"/>
        <v>99</v>
      </c>
      <c r="RK42" s="244">
        <f t="shared" ca="1" si="198"/>
        <v>99</v>
      </c>
      <c r="RL42" s="244">
        <f t="shared" ca="1" si="199"/>
        <v>99</v>
      </c>
      <c r="RM42" s="244">
        <f t="shared" ca="1" si="200"/>
        <v>99</v>
      </c>
      <c r="RN42" s="244">
        <f t="shared" ca="1" si="201"/>
        <v>99</v>
      </c>
      <c r="RO42" s="244">
        <f t="shared" ca="1" si="202"/>
        <v>99</v>
      </c>
      <c r="RP42" s="202" t="str">
        <f t="shared" ca="1" si="43"/>
        <v>Zu wenige Noten</v>
      </c>
      <c r="RQ42" s="202" t="str">
        <f t="shared" ca="1" si="203"/>
        <v>Zu wenige Noten</v>
      </c>
      <c r="RR42" s="202" t="str">
        <f t="shared" ca="1" si="203"/>
        <v>Zu wenige Noten</v>
      </c>
      <c r="RS42" s="202" t="str">
        <f t="shared" ca="1" si="204"/>
        <v>Zu wenige Noten</v>
      </c>
      <c r="RT42" s="202" t="str">
        <f t="shared" ca="1" si="204"/>
        <v>Zu wenige Noten</v>
      </c>
      <c r="RU42" s="202" t="str">
        <f t="shared" ca="1" si="205"/>
        <v>Zu wenige Noten</v>
      </c>
      <c r="RV42" s="202" t="str">
        <f t="shared" ca="1" si="206"/>
        <v>Zu wenige Noten</v>
      </c>
      <c r="RW42" s="31"/>
      <c r="RX42" s="56" t="str">
        <f t="shared" ca="1" si="44"/>
        <v>Zu wenige Noten</v>
      </c>
      <c r="RY42" s="31"/>
      <c r="RZ42" s="31" t="str">
        <f t="shared" ca="1" si="45"/>
        <v>Zu wenige Noten</v>
      </c>
      <c r="SA42" s="31" t="str">
        <f t="shared" ca="1" si="46"/>
        <v>Zu wenige Noten</v>
      </c>
      <c r="SB42" s="45" t="str">
        <f t="shared" ca="1" si="47"/>
        <v>Zu wenige Noten</v>
      </c>
      <c r="SC42" s="31" t="str">
        <f t="shared" ca="1" si="207"/>
        <v>Zu wenige Noten</v>
      </c>
      <c r="SD42" s="31" t="str">
        <f t="shared" ca="1" si="208"/>
        <v>Zu wenige Noten</v>
      </c>
      <c r="SE42" s="31" t="str">
        <f t="shared" ca="1" si="225"/>
        <v>Zu wenige Noten</v>
      </c>
      <c r="SF42" s="31" t="str">
        <f t="shared" ca="1" si="209"/>
        <v>Zu wenige Noten</v>
      </c>
      <c r="SG42" s="31" t="str">
        <f t="shared" ca="1" si="226"/>
        <v>Zu wenige Noten</v>
      </c>
      <c r="SH42" s="36">
        <f t="shared" ca="1" si="210"/>
        <v>0</v>
      </c>
      <c r="SI42" s="36">
        <f t="shared" ca="1" si="211"/>
        <v>0</v>
      </c>
      <c r="SJ42" s="36">
        <f t="shared" ca="1" si="212"/>
        <v>0</v>
      </c>
      <c r="SK42" s="31">
        <f t="shared" ca="1" si="213"/>
        <v>99</v>
      </c>
      <c r="SL42" s="31">
        <f t="shared" ca="1" si="214"/>
        <v>99</v>
      </c>
      <c r="SM42" s="36" t="str">
        <f t="shared" ca="1" si="215"/>
        <v>99.0</v>
      </c>
      <c r="SN42" s="31">
        <f t="shared" ca="1" si="216"/>
        <v>99</v>
      </c>
      <c r="SO42" s="36" t="str">
        <f ca="1">IF(NOT(SJ42),INDEX(StdFehler[StdFehler],4),IF(SI42=$SJ$13,$A$3,CONCATENATE(TEXT(SK42,"#.0"),", ",TEXT(SL42,"#.0"),", ",SM42,", ",TEXT(SN42,"#.0"))))</f>
        <v>Zu wenige Noten</v>
      </c>
      <c r="SP42" s="36" t="str">
        <f t="shared" ca="1" si="49"/>
        <v>Zu wenige Noten</v>
      </c>
      <c r="SQ42" s="36" t="str">
        <f t="shared" ca="1" si="49"/>
        <v>Zu wenige Noten</v>
      </c>
      <c r="SR42" s="36" t="str">
        <f t="shared" ca="1" si="49"/>
        <v>Zu wenige Noten</v>
      </c>
      <c r="SS42" s="36" t="str">
        <f t="shared" ca="1" si="49"/>
        <v>Zu wenige Noten</v>
      </c>
      <c r="ST42" s="36" t="str">
        <f t="shared" ca="1" si="217"/>
        <v>Zu wenige Noten</v>
      </c>
      <c r="SU42" s="36"/>
      <c r="SV42" s="214" t="str">
        <f t="shared" si="218"/>
        <v>D</v>
      </c>
      <c r="SW42" s="36"/>
      <c r="SX42" s="214" t="str">
        <f t="shared" si="219"/>
        <v>D</v>
      </c>
      <c r="SY42" s="36"/>
      <c r="SZ42" s="214" t="str">
        <f t="shared" si="220"/>
        <v>D</v>
      </c>
      <c r="TA42" s="36"/>
      <c r="TB42" s="214" t="str">
        <f t="shared" si="221"/>
        <v>D</v>
      </c>
      <c r="TC42" s="31"/>
      <c r="TD42" s="36" t="str">
        <f t="shared" ca="1" si="222"/>
        <v>Zu wenige Noten</v>
      </c>
      <c r="TE42" s="31"/>
      <c r="TF42" s="193" t="str">
        <f ca="1">IF(NOT(SJ42),INDEX(StdFehler[StdFehler],4),IF(SI42=$TF$4,$A$3,ROUND(AVERAGE(RZ42:SC42)/$TF$5,0)*$TF$5))</f>
        <v>Zu wenige Noten</v>
      </c>
      <c r="TH42" s="595" t="str">
        <f>IF(OR($TH$18=Stammdaten!$AX$20,$TH$18=""),Stammdaten!$AX$20,$TH$18)</f>
        <v>Disziplin</v>
      </c>
      <c r="TI42" s="33"/>
      <c r="TJ42" s="33" t="str">
        <f>IF(OR(Geschlecht[[#This Row],[Geschlecht (Skala)]]="",TH42="",TH42=Stammdaten!$AX$20),"",REPLACE(INDEX(StdDisziplinen[TabÜberschriftResultat],TH$3),FIND("XX",INDEX(StdDisziplinen[TabÜberschriftResultat],TH$3),1),2,Geschlecht[[#This Row],[Geschlecht (Skala)]]))</f>
        <v/>
      </c>
      <c r="TK42" s="596"/>
      <c r="TM42" s="37"/>
      <c r="TN42" s="40"/>
      <c r="TO42" s="587">
        <f>IF(TO$16,IF(TP$16=0.5,MROUND(SchwimmenResultat[[#This Row],[Resultat]],TP$16),ROUND(SchwimmenResultat[[#This Row],[Resultat]],TP$16)),ROUNDDOWN(SchwimmenResultat[[#This Row],[Resultat]],TP$16))</f>
        <v>0</v>
      </c>
      <c r="TP42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2" s="153" t="str">
        <f ca="1">IF(TP42="","",IF(OR(SchwimmenResultat[[#This Row],[Resultat]]=Stammdaten!$AX$22,SchwimmenResultat[[#This Row],[Resultat]]=Stammdaten!$AX$19),Stammdaten!$AX$19,IF(ISNA(INDEX(INDIRECT(TP42),MATCH(SchwimmenGerundet[[#This Row],[Rundung]],INDIRECT(TP42),TP$18))),IF(TP$18=-1,LARGE(INDIRECT(TP42),1),SMALL(INDIRECT(TP42),1)),INDEX(INDIRECT(TP42),MATCH(SchwimmenGerundet[[#This Row],[Rundung]],INDIRECT(TP42),TP$18)))))</f>
        <v/>
      </c>
      <c r="TR42" s="33" t="str">
        <f>IF(OR(TP42="",SchwimmenResultat[[#This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2" s="33"/>
      <c r="TT42" s="36" t="str">
        <f ca="1">IF(OR(TR42="",SchwimmenSkalawert[[#This Row],[Skala-Wert]]=Stammdaten!$AX$19),"",INDEX(INDIRECT(TR42),MATCH(SchwimmenSkalawert[[#This Row],[Skala-Wert]],INDIRECT(TP42),0)))</f>
        <v/>
      </c>
      <c r="TU42" s="36"/>
      <c r="TV42" s="190" t="str">
        <f>IF(ZwölfMinLaufHalleResultat[[#This Row],[Resultat]]=0,"",ZwölfMinLaufHalleResultat[[#This Row],[Resultat]])</f>
        <v/>
      </c>
      <c r="TW42" s="190"/>
      <c r="TX42" s="31" t="str">
        <f ca="1">ZwölfMinLaufHalleSkalawert[[#This Row],[Skala-Wert]]</f>
        <v/>
      </c>
      <c r="TZ42" s="31" t="str">
        <f ca="1">ZwölfMinLaufHalleNote[[#This Row],[Note]]</f>
        <v/>
      </c>
      <c r="UA42" s="31"/>
      <c r="UB42" s="190" t="str">
        <f>IF(ZwölfMinLaufimFreienResultat[[#This Row],[Resultat]]=0,"",ZwölfMinLaufimFreienResultat[[#This Row],[Resultat]])</f>
        <v/>
      </c>
      <c r="UC42" s="190"/>
      <c r="UD42" s="192" t="str">
        <f ca="1">ZwölfMinLaufimFreienSkalawert[[#This Row],[Skala-Wert]]</f>
        <v/>
      </c>
      <c r="UF42" s="31" t="str">
        <f ca="1">ZwölfMinLaufimFreienNote[[#This Row],[Note]]</f>
        <v/>
      </c>
      <c r="UG42" s="31"/>
      <c r="UH42" s="597"/>
      <c r="UI42" s="190"/>
      <c r="UJ42" s="587">
        <f>IF(UJ$16,IF(UK$16=0.5,MROUND(BeweglichkeitResultat[[#This Row],[Resultat]],UK$16),ROUND(BeweglichkeitResultat[[#This Row],[Resultat]],UK$16)),ROUNDDOWN(BeweglichkeitResultat[[#This Row],[Resultat]],UK$16))</f>
        <v>0</v>
      </c>
      <c r="UK42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2" s="192" t="str">
        <f ca="1">IF(UK42="","",IF(OR(BeweglichkeitResultat[[#This Row],[Resultat]]=Stammdaten!$AX$22,BeweglichkeitResultat[[#This Row],[Resultat]]=Stammdaten!$AX$19),Stammdaten!$AX$19,IF(ISNA(INDEX(INDIRECT(UK42),MATCH(BeweglichkeitGerundet[[#This Row],[Rundung]],INDIRECT(UK42),UK$18))),IF(UK$18=-1,LARGE(INDIRECT(UK42),1),SMALL(INDIRECT(UK42),1)),INDEX(INDIRECT(UK42),MATCH(BeweglichkeitGerundet[[#This Row],[Rundung]],INDIRECT(UK42),UK$18)))))</f>
        <v/>
      </c>
      <c r="UN42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2" s="36" t="str">
        <f ca="1">IF(OR(UK42="",BeweglichkeitSkalawert[[#This Row],[Skala-Wert]]=Stammdaten!$AX$19),"",INDEX(INDIRECT(UN42),MATCH(BeweglichkeitSkalawert[[#This Row],[Skala-Wert]],INDIRECT(UK42),0)))</f>
        <v/>
      </c>
      <c r="UP42" s="31"/>
      <c r="UQ42" s="597"/>
      <c r="UR42" s="190"/>
      <c r="US42" s="587">
        <f>IF(US$16,IF(UT$16=0.5,MROUND(RumpfkraftResultat[[#This Row],[Resultat]],UT$16),ROUND(RumpfkraftResultat[[#This Row],[Resultat]],UT$16)),ROUNDDOWN(RumpfkraftResultat[[#This Row],[Resultat]],UT$16))</f>
        <v>0</v>
      </c>
      <c r="UT42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2" s="192" t="str">
        <f ca="1">IF(UT42="","",IF(OR(RumpfkraftResultat[[#This Row],[Resultat]]=Stammdaten!$AX$22,RumpfkraftResultat[[#This Row],[Resultat]]=Stammdaten!$AX$19),Stammdaten!$AX$19,IF(ISNA(INDEX(INDIRECT(UT42),MATCH(RumpfkraftGerundet[[#This Row],[Rundung]],INDIRECT(UT42),UT$18))),IF(UT$18=-1,LARGE(INDIRECT(UT42),1),SMALL(INDIRECT(UT42),1)),INDEX(INDIRECT(UT42),MATCH(RumpfkraftGerundet[[#This Row],[Rundung]],INDIRECT(UT42),UT$18)))))</f>
        <v/>
      </c>
      <c r="UW42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2" s="36" t="str">
        <f ca="1">IF(OR(UT42="",RumpfkraftSkalawert[[#This Row],[Skala-Wert]]=Stammdaten!$AX$19),"",INDEX(INDIRECT(UW42),MATCH(RumpfkraftSkalawert[[#This Row],[Skala-Wert]],INDIRECT(UT42),0)))</f>
        <v/>
      </c>
      <c r="UY42" s="31"/>
      <c r="UZ42" s="190" t="str">
        <f>IF(SechzigmLaufResultat[[#This Row],[Resultat]]=0,"",SechzigmLaufResultat[[#This Row],[Resultat]])</f>
        <v/>
      </c>
      <c r="VA42" s="190"/>
      <c r="VB42" s="45" t="str">
        <f ca="1">SechzigmLaufSkalawert[[#This Row],[Skala-Wert]]</f>
        <v/>
      </c>
      <c r="VD42" s="31" t="str">
        <f ca="1">SechzigmLaufNote[[#This Row],[Note]]</f>
        <v/>
      </c>
      <c r="VE42" s="31"/>
      <c r="VF42" s="190" t="str">
        <f>IF(AchtzigmLaufResultat[[#This Row],[Resultat]]=0,"",AchtzigmLaufResultat[[#This Row],[Resultat]])</f>
        <v/>
      </c>
      <c r="VG42" s="190"/>
      <c r="VH42" s="45" t="str">
        <f ca="1">AchtzigmLaufSkalawert[[#This Row],[Skala-Wert]]</f>
        <v/>
      </c>
      <c r="VJ42" s="31" t="str">
        <f ca="1">AchtzigmLaufNote[[#This Row],[Note]]</f>
        <v/>
      </c>
      <c r="VK42" s="31"/>
      <c r="VL42" s="37"/>
      <c r="VM42" s="190"/>
      <c r="VN42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2" s="191" t="str">
        <f>IF(OR(Geschlecht[[#This Row],[Geschlecht (Skala)]]="",VL$16=""),"",MID(Geschlecht[[#This Row],[Geschlecht (Skala)]],1,1)&amp;MID(VL$16,1,1))</f>
        <v/>
      </c>
      <c r="VP42" s="190" t="str">
        <f>IF(OR(VO42="",KonditionsparcoursResultat[[#This Row],[Resultat]]=""),"",REPLACE(INDEX(StdDisziplinen[TabÜberschriftResultat],VL$3),FIND("X",INDEX(StdDisziplinen[TabÜberschriftResultat],VL$3),1),2,VO42))</f>
        <v/>
      </c>
      <c r="VQ42" s="192" t="str">
        <f ca="1">IF(VP42="","",IF(OR(KonditionsparcoursResultat[[#This Row],[Resultat]]=Stammdaten!$AX$22,KonditionsparcoursResultat[[#This Row],[Resultat]]=Stammdaten!$AX$19),Stammdaten!$AX$19,IF(ISNA(INDEX(INDIRECT(VP42),MATCH(KonditionsparcoursGerundet[[#This Row],[Rundung]],INDIRECT(VP42),VP$18))),IF(VP$18=-1,LARGE(INDIRECT(VP42),1),SMALL(INDIRECT(VP42),1)),INDEX(INDIRECT(VP42),MATCH(KonditionsparcoursGerundet[[#This Row],[Rundung]],INDIRECT(VP42),VP$18)))))</f>
        <v/>
      </c>
      <c r="VS42" s="18" t="str">
        <f ca="1">IF(KonditionsparcoursSkalawert[[#This Row],[Skala-Wert]]="","",REPLACE(INDEX(StdDisziplinen[TabÜberschriftNote],VL$3),FIND("X",INDEX(StdDisziplinen[TabÜberschriftNote],VL$3),1),2,VO42))</f>
        <v/>
      </c>
      <c r="VT42" s="31" t="str">
        <f ca="1">IF(OR(VS42="",KonditionsparcoursSkalawert[[#This Row],[Skala-Wert]]=Stammdaten!$AX$19),"",INDEX(INDIRECT(VS42),MATCH(KonditionsparcoursSkalawert[[#This Row],[Skala-Wert]],INDIRECT(VP42),0)))</f>
        <v/>
      </c>
      <c r="VU42" s="22"/>
    </row>
    <row r="43" spans="1:593" x14ac:dyDescent="0.3">
      <c r="A43" s="30">
        <v>25</v>
      </c>
      <c r="B43" s="589"/>
      <c r="C43" s="589"/>
      <c r="E43" s="591"/>
      <c r="G43" s="37"/>
      <c r="H43" s="190"/>
      <c r="I43" s="154">
        <f>IF(I$16,IF(J$16=0.5,MROUND(SechzigmLaufResultat[[#This Row],[Resultat]],J$16),ROUND(SechzigmLaufResultat[[#This Row],[Resultat]],J$16)),ROUNDDOWN(SechzigmLaufResultat[[#This Row],[Resultat]],J$16))</f>
        <v>0</v>
      </c>
      <c r="J43" s="191" t="str">
        <f>IF(OR(Geschlecht[[#This Row],[Geschlecht (Skala)]]="",G$16=""),"",MID(Geschlecht[[#This Row],[Geschlecht (Skala)]],1,1)&amp;MID(G$16,1,1))</f>
        <v/>
      </c>
      <c r="K43" s="190" t="str">
        <f>IF(OR(J43="",SechzigmLaufResultat[[#This Row],[Resultat]]=""),"",REPLACE(INDEX(StdDisziplinen[TabÜberschriftResultat],G$3),FIND("X",INDEX(StdDisziplinen[TabÜberschriftResultat],G$3),1),2,J43))</f>
        <v/>
      </c>
      <c r="L43" s="45" t="str">
        <f ca="1">IF(K43="","",IF(OR(SechzigmLaufResultat[[#This Row],[Resultat]]=Stammdaten!$AX$22,SechzigmLaufResultat[[#This Row],[Resultat]]=Stammdaten!$AX$19),Stammdaten!$AX$19,IF(ISNA(INDEX(INDIRECT(K43),MATCH(SechzigmLaufGerundet[[#This Row],[Rundung]],INDIRECT(K43),K$18))),IF(K$18=-1,LARGE(INDIRECT(K43),1),SMALL(INDIRECT(K43),1)),INDEX(INDIRECT(K43),MATCH(SechzigmLaufGerundet[[#This Row],[Rundung]],INDIRECT(K43),K$18)))))</f>
        <v/>
      </c>
      <c r="N43" s="18" t="str">
        <f ca="1">IF(SechzigmLaufSkalawert[[#This Row],[Skala-Wert]]="","",REPLACE(INDEX(StdDisziplinen[TabÜberschriftNote],G$3),FIND("X",INDEX(StdDisziplinen[TabÜberschriftNote],G$3),1),2,J43))</f>
        <v/>
      </c>
      <c r="O43" s="31" t="str">
        <f ca="1">IF(OR(N43="",SechzigmLaufSkalawert[[#This Row],[Skala-Wert]]=Stammdaten!$AX$19),"",INDEX(INDIRECT(N43),MATCH(SechzigmLaufSkalawert[[#This Row],[Skala-Wert]],INDIRECT(K43),0)))</f>
        <v/>
      </c>
      <c r="P43" s="31"/>
      <c r="Q43" s="37"/>
      <c r="R43" s="190"/>
      <c r="S43" s="154">
        <f>IF(S$16,IF(T$16=0.5,MROUND(AchtzigmLaufResultat[[#This Row],[Resultat]],T$16),ROUND(AchtzigmLaufResultat[[#This Row],[Resultat]],T$16)),ROUNDDOWN(AchtzigmLaufResultat[[#This Row],[Resultat]],T$16))</f>
        <v>0</v>
      </c>
      <c r="T43" s="191" t="str">
        <f>IF(OR(Geschlecht[[#This Row],[Geschlecht (Skala)]]="",Q$16=""),"",MID(Geschlecht[[#This Row],[Geschlecht (Skala)]],1,1)&amp;MID(Q$16,1,1))</f>
        <v/>
      </c>
      <c r="U43" s="190" t="str">
        <f>IF(OR(T43="",AchtzigmLaufResultat[[#This Row],[Resultat]]=""),"",REPLACE(INDEX(StdDisziplinen[TabÜberschriftResultat],Q$3),FIND("X",INDEX(StdDisziplinen[TabÜberschriftResultat],Q$3),1),2,T43))</f>
        <v/>
      </c>
      <c r="V43" s="45" t="str">
        <f ca="1">IF(U43="","",IF(OR(AchtzigmLaufResultat[[#This Row],[Resultat]]=Stammdaten!$AX$22,AchtzigmLaufResultat[[#This Row],[Resultat]]=Stammdaten!$AX$19),Stammdaten!$AX$19,IF(ISNA(INDEX(INDIRECT(U43),MATCH(AchtzigmLaufGerundet[[#This Row],[Rundung]],INDIRECT(U43),U$18))),IF(U$18=-1,LARGE(INDIRECT(U43),1),SMALL(INDIRECT(U43),1)),INDEX(INDIRECT(U43),MATCH(AchtzigmLaufGerundet[[#This Row],[Rundung]],INDIRECT(U43),U$18)))))</f>
        <v/>
      </c>
      <c r="X43" s="18" t="str">
        <f ca="1">IF(AchtzigmLaufSkalawert[[#This Row],[Skala-Wert]]="","",REPLACE(INDEX(StdDisziplinen[TabÜberschriftNote],Q$3),FIND("X",INDEX(StdDisziplinen[TabÜberschriftNote],Q$3),1),2,T43))</f>
        <v/>
      </c>
      <c r="Y43" s="31" t="str">
        <f ca="1">IF(OR(X43="",AchtzigmLaufSkalawert[[#This Row],[Skala-Wert]]=Stammdaten!$AX$19),"",INDEX(INDIRECT(X43),MATCH(AchtzigmLaufSkalawert[[#This Row],[Skala-Wert]],INDIRECT(U43),0)))</f>
        <v/>
      </c>
      <c r="Z43" s="31"/>
      <c r="AA43" s="37"/>
      <c r="AB43" s="190"/>
      <c r="AC43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3" s="191" t="str">
        <f>IF(OR(Geschlecht[[#This Row],[Geschlecht (Skala)]]="",AA$16=""),"",MID(Geschlecht[[#This Row],[Geschlecht (Skala)]],1,1)&amp;MID(AA$16,1,1))</f>
        <v/>
      </c>
      <c r="AE43" s="190" t="str">
        <f>IF(OR(AD43="",ZwölfMinLaufHalleResultat[[#This Row],[Resultat]]=""),"",REPLACE(INDEX(StdDisziplinen[TabÜberschriftResultat],AA$3),FIND("X",INDEX(StdDisziplinen[TabÜberschriftResultat],AA$3),1),2,AD43))</f>
        <v/>
      </c>
      <c r="AF43" s="31" t="str">
        <f ca="1">IF(AE43="","",IF(OR(ZwölfMinLaufHalleResultat[[#This Row],[Resultat]]=Stammdaten!$AX$22,ZwölfMinLaufHalleResultat[[#This Row],[Resultat]]=Stammdaten!$AX$19),Stammdaten!$AX$19,IF(ISNA(INDEX(INDIRECT(AE43),MATCH(ZwölfMinLaufHalleGerundet[[#This Row],[Rundung]],INDIRECT(AE43),AE$18))),IF(AE$18=-1,LARGE(INDIRECT(AE43),1),SMALL(INDIRECT(AE43),1)),INDEX(INDIRECT(AE43),MATCH(ZwölfMinLaufHalleGerundet[[#This Row],[Rundung]],INDIRECT(AE43),AE$18)))))</f>
        <v/>
      </c>
      <c r="AH43" s="18" t="str">
        <f ca="1">IF(ZwölfMinLaufHalleSkalawert[[#This Row],[Skala-Wert]]="","",REPLACE(INDEX(StdDisziplinen[TabÜberschriftNote],AA$3),FIND("X",INDEX(StdDisziplinen[TabÜberschriftNote],AA$3),1),2,AD43))</f>
        <v/>
      </c>
      <c r="AI43" s="31" t="str">
        <f ca="1">IF(OR(AH43="",ZwölfMinLaufHalleSkalawert[[#This Row],[Skala-Wert]]=Stammdaten!$AX$19),"",INDEX(INDIRECT(AH43),MATCH(ZwölfMinLaufHalleSkalawert[[#This Row],[Skala-Wert]],INDIRECT(AE43),0)))</f>
        <v/>
      </c>
      <c r="AJ43" s="31"/>
      <c r="AK43" s="597"/>
      <c r="AL43" s="190"/>
      <c r="AM43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3" s="191" t="str">
        <f>IF(OR(Geschlecht[[#This Row],[Geschlecht (Skala)]]="",AK$16=""),"",MID(Geschlecht[[#This Row],[Geschlecht (Skala)]],1,1)&amp;MID(AK$16,1,1))</f>
        <v/>
      </c>
      <c r="AO43" s="190" t="str">
        <f>IF(OR(AN43="",ZwölfMinLaufimFreienResultat[[#This Row],[Resultat]]=""),"",REPLACE(INDEX(StdDisziplinen[TabÜberschriftResultat],AK$3),FIND("X",INDEX(StdDisziplinen[TabÜberschriftResultat],AK$3),1),2,AN43))</f>
        <v/>
      </c>
      <c r="AP43" s="192" t="str">
        <f ca="1">IF(AO43="","",IF(OR(ZwölfMinLaufimFreienResultat[[#This Row],[Resultat]]=Stammdaten!$AX$22,ZwölfMinLaufimFreienResultat[[#This Row],[Resultat]]=Stammdaten!$AX$19),Stammdaten!$AX$19,IF(ISNA(INDEX(INDIRECT(AO43),MATCH(ZwölfMinLaufimFreienGerundet[[#This Row],[Rundung]],INDIRECT(AO43),AO$18))),IF(AO$18=-1,LARGE(INDIRECT(AO43),1),SMALL(INDIRECT(AO43),1)),INDEX(INDIRECT(AO43),MATCH(ZwölfMinLaufimFreienGerundet[[#This Row],[Rundung]],INDIRECT(AO43),AO$18)))))</f>
        <v/>
      </c>
      <c r="AR43" s="18" t="str">
        <f ca="1">IF(ZwölfMinLaufimFreienSkalawert[[#This Row],[Skala-Wert]]="","",REPLACE(INDEX(StdDisziplinen[TabÜberschriftNote],AK$3),FIND("X",INDEX(StdDisziplinen[TabÜberschriftNote],AK$3),1),2,AN43))</f>
        <v/>
      </c>
      <c r="AS43" s="31" t="str">
        <f ca="1">IF(OR(AR43="",ZwölfMinLaufimFreienSkalawert[[#This Row],[Skala-Wert]]=Stammdaten!$AX$19),"",INDEX(INDIRECT(AR43),MATCH(ZwölfMinLaufimFreienSkalawert[[#This Row],[Skala-Wert]],INDIRECT(AO43),0)))</f>
        <v/>
      </c>
      <c r="AT43" s="31"/>
      <c r="AU43" s="597"/>
      <c r="AV43" s="190"/>
      <c r="AW43" s="587">
        <f>IF(AW$16,IF(AX$16=0.5,MROUND(HochsprungResultat[[#This Row],[Resultat]],AX$16),ROUND(HochsprungResultat[[#This Row],[Resultat]],AX$16)),ROUNDDOWN(HochsprungResultat[[#This Row],[Resultat]],AX$16))</f>
        <v>0</v>
      </c>
      <c r="AX43" s="191" t="str">
        <f>IF(OR(Geschlecht[[#This Row],[Geschlecht (Skala)]]="",AU$16=""),"",MID(Geschlecht[[#This Row],[Geschlecht (Skala)]],1,1)&amp;MID(AU$16,1,1))</f>
        <v/>
      </c>
      <c r="AY43" s="190" t="str">
        <f>IF(OR(AX43="",HochsprungResultat[[#This Row],[Resultat]]=""),"",REPLACE(INDEX(StdDisziplinen[TabÜberschriftResultat],AU$3),FIND("X",INDEX(StdDisziplinen[TabÜberschriftResultat],AU$3),1),2,AX43))</f>
        <v/>
      </c>
      <c r="AZ43" s="192" t="str">
        <f ca="1">IF(AY43="","",IF(OR(HochsprungResultat[[#This Row],[Resultat]]=Stammdaten!$AX$22,HochsprungResultat[[#This Row],[Resultat]]=Stammdaten!$AX$19),Stammdaten!$AX$19,IF(ISNA(INDEX(INDIRECT(AY43),MATCH(HochsprungGerundet[[#This Row],[Rundung]],INDIRECT(AY43),AY$18))),IF(AY$18=-1,LARGE(INDIRECT(AY43),1),SMALL(INDIRECT(AY43),1)),INDEX(INDIRECT(AY43),MATCH(HochsprungGerundet[[#This Row],[Rundung]],INDIRECT(AY43),AY$18)))))</f>
        <v/>
      </c>
      <c r="BB43" s="18" t="str">
        <f ca="1">IF(HochsprungSkalawert[[#This Row],[Skala-Wert]]="","",REPLACE(INDEX(StdDisziplinen[TabÜberschriftNote],AU$3),FIND("X",INDEX(StdDisziplinen[TabÜberschriftNote],AU$3),1),2,AX43))</f>
        <v/>
      </c>
      <c r="BC43" s="31" t="str">
        <f ca="1">IF(OR(BB43="",HochsprungSkalawert[[#This Row],[Skala-Wert]]=Stammdaten!$AX$19),"",INDEX(INDIRECT(BB43),MATCH(HochsprungSkalawert[[#This Row],[Skala-Wert]],INDIRECT(AY43),0)))</f>
        <v/>
      </c>
      <c r="BD43" s="31"/>
      <c r="BE43" s="597"/>
      <c r="BF43" s="190"/>
      <c r="BG43" s="587">
        <f>IF(BG$16,IF(BH$16=0.5,MROUND(WeitsprungResultat[[#This Row],[Resultat]],BH$16),ROUND(WeitsprungResultat[[#This Row],[Resultat]],BH$16)),ROUNDDOWN(WeitsprungResultat[[#This Row],[Resultat]],BH$16))</f>
        <v>0</v>
      </c>
      <c r="BH43" s="191" t="str">
        <f>IF(OR(Geschlecht[[#This Row],[Geschlecht (Skala)]]="",BE$16=""),"",MID(Geschlecht[[#This Row],[Geschlecht (Skala)]],1,1)&amp;MID(BE$16,1,1))</f>
        <v/>
      </c>
      <c r="BI43" s="190" t="str">
        <f>IF(OR(BH43="",WeitsprungResultat[[#This Row],[Resultat]]=""),"",REPLACE(INDEX(StdDisziplinen[TabÜberschriftResultat],BE$3),FIND("X",INDEX(StdDisziplinen[TabÜberschriftResultat],BE$3),1),2,BH43))</f>
        <v/>
      </c>
      <c r="BJ43" s="192" t="str">
        <f ca="1">IF(BI43="","",IF(OR(WeitsprungResultat[[#This Row],[Resultat]]=Stammdaten!$AX$22,WeitsprungResultat[[#This Row],[Resultat]]=Stammdaten!$AX$19),Stammdaten!$AX$19,IF(ISNA(INDEX(INDIRECT(BI43),MATCH(WeitsprungGerundet[[#This Row],[Rundung]],INDIRECT(BI43),BI$18))),IF(BI$18=-1,LARGE(INDIRECT(BI43),1),SMALL(INDIRECT(BI43),1)),INDEX(INDIRECT(BI43),MATCH(WeitsprungGerundet[[#This Row],[Rundung]],INDIRECT(BI43),BI$18)))))</f>
        <v/>
      </c>
      <c r="BL43" s="18" t="str">
        <f ca="1">IF(WeitsprungSkalawert[[#This Row],[Skala-Wert]]="","",REPLACE(INDEX(StdDisziplinen[TabÜberschriftNote],BE$3),FIND("X",INDEX(StdDisziplinen[TabÜberschriftNote],BE$3),1),2,BH43))</f>
        <v/>
      </c>
      <c r="BM43" s="31" t="str">
        <f ca="1">IF(OR(BL43="",WeitsprungSkalawert[[#This Row],[Skala-Wert]]=Stammdaten!$AX$19),"",INDEX(INDIRECT(BL43),MATCH(WeitsprungSkalawert[[#This Row],[Skala-Wert]],INDIRECT(BI43),0)))</f>
        <v/>
      </c>
      <c r="BN43" s="31"/>
      <c r="BO43" s="37"/>
      <c r="BP43" s="190"/>
      <c r="BQ43" s="154">
        <f>IF(BQ$16,IF(BR$16=0.5,MROUND(BallwurfResultat[[#This Row],[Resultat]],BR$16),ROUND(BallwurfResultat[[#This Row],[Resultat]],BR$16)),ROUNDDOWN(BallwurfResultat[[#This Row],[Resultat]],BR$16))</f>
        <v>0</v>
      </c>
      <c r="BR43" s="191" t="str">
        <f>IF(OR(Geschlecht[[#This Row],[Geschlecht (Skala)]]="",BO$16=""),"",MID(Geschlecht[[#This Row],[Geschlecht (Skala)]],1,1)&amp;MID(BO$16,1,1))</f>
        <v/>
      </c>
      <c r="BS43" s="190" t="str">
        <f>IF(OR(BR43="",BallwurfResultat[[#This Row],[Resultat]]=""),"",REPLACE(INDEX(StdDisziplinen[TabÜberschriftResultat],BO$3),FIND("X",INDEX(StdDisziplinen[TabÜberschriftResultat],BO$3),1),2,BR43))</f>
        <v/>
      </c>
      <c r="BT43" s="45" t="str">
        <f ca="1">IF(BS43="","",IF(OR(BallwurfResultat[[#This Row],[Resultat]]=Stammdaten!$AX$22,BallwurfResultat[[#This Row],[Resultat]]=Stammdaten!$AX$19),Stammdaten!$AX$19,IF(ISNA(INDEX(INDIRECT(BS43),MATCH(BallwurfGerundet[[#This Row],[Rundung]],INDIRECT(BS43),BS$18))),IF(BS$18=-1,LARGE(INDIRECT(BS43),1),SMALL(INDIRECT(BS43),1)),INDEX(INDIRECT(BS43),MATCH(BallwurfGerundet[[#This Row],[Rundung]],INDIRECT(BS43),BS$18)))))</f>
        <v/>
      </c>
      <c r="BV43" s="18" t="str">
        <f ca="1">IF(BallwurfSkalawert[[#This Row],[Skala-Wert]]="","",REPLACE(INDEX(StdDisziplinen[TabÜberschriftNote],BO$3),FIND("X",INDEX(StdDisziplinen[TabÜberschriftNote],BO$3),1),2,BR43))</f>
        <v/>
      </c>
      <c r="BW43" s="31" t="str">
        <f ca="1">IF(OR(BV43="",BallwurfSkalawert[[#This Row],[Skala-Wert]]=Stammdaten!$AX$19),"",INDEX(INDIRECT(BV43),MATCH(BallwurfSkalawert[[#This Row],[Skala-Wert]],INDIRECT(BS43),0)))</f>
        <v/>
      </c>
      <c r="BX43" s="31"/>
      <c r="BY43" s="598"/>
      <c r="BZ43" s="190"/>
      <c r="CA43" s="154">
        <f>IF(CA$16,IF(CB$16=0.5,MROUND(KugelstossenResultat[[#This Row],[Resultat]],CB$16),ROUND(KugelstossenResultat[[#This Row],[Resultat]],CB$16)),ROUNDDOWN(KugelstossenResultat[[#This Row],[Resultat]],CB$16))</f>
        <v>0</v>
      </c>
      <c r="CB43" s="191" t="str">
        <f>IF(OR(Geschlecht[[#This Row],[Geschlecht (Skala)]]="",BY$16=""),"",MID(Geschlecht[[#This Row],[Geschlecht (Skala)]],1,1)&amp;MID(BY$16,1,1))</f>
        <v/>
      </c>
      <c r="CC43" s="190" t="str">
        <f>IF(OR(CB43="",KugelstossenResultat[[#This Row],[Resultat]]=""),"",REPLACE(INDEX(StdDisziplinen[TabÜberschriftResultat],BY$3),FIND("X",INDEX(StdDisziplinen[TabÜberschriftResultat],BY$3),1),2,CB43))</f>
        <v/>
      </c>
      <c r="CD43" s="45" t="str">
        <f ca="1">IF(CC43="","",IF(OR(KugelstossenResultat[[#This Row],[Resultat]]=Stammdaten!$AX$22,KugelstossenResultat[[#This Row],[Resultat]]=Stammdaten!$AX$19),Stammdaten!$AX$19,IF(ISNA(INDEX(INDIRECT(CC43),MATCH(KugelstossenGerundet[[#This Row],[Rundung]],INDIRECT(CC43),CC$18))),IF(CC$18=-1,LARGE(INDIRECT(CC43),1),SMALL(INDIRECT(CC43),1)),INDEX(INDIRECT(CC43),MATCH(KugelstossenGerundet[[#This Row],[Rundung]],INDIRECT(CC43),CC$18)))))</f>
        <v/>
      </c>
      <c r="CF43" s="18" t="str">
        <f ca="1">IF(KugelstossenSkalawert[[#This Row],[Skala-Wert]]="","",REPLACE(INDEX(StdDisziplinen[TabÜberschriftNote],BY$3),FIND("X",INDEX(StdDisziplinen[TabÜberschriftNote],BY$3),1),2,CB43))</f>
        <v/>
      </c>
      <c r="CG43" s="31" t="str">
        <f ca="1">IF(OR(CF43="",KugelstossenSkalawert[[#This Row],[Skala-Wert]]=Stammdaten!$AX$19),"",INDEX(INDIRECT(CF43),MATCH(KugelstossenSkalawert[[#This Row],[Skala-Wert]],INDIRECT(CC43),0)))</f>
        <v/>
      </c>
      <c r="CH43" s="31"/>
      <c r="CI43" s="37"/>
      <c r="CJ43" s="190"/>
      <c r="CK43" s="154">
        <f>IF(CK$16,IF(CL$16=0.5,MROUND(SpeerwurfResultat[[#This Row],[Resultat]],CL$16),ROUND(SpeerwurfResultat[[#This Row],[Resultat]],CL$16)),ROUNDDOWN(SpeerwurfResultat[[#This Row],[Resultat]],CL$16))</f>
        <v>0</v>
      </c>
      <c r="CL43" s="191" t="str">
        <f>IF(OR(Geschlecht[[#This Row],[Geschlecht (Skala)]]="",CI$16=""),"",MID(Geschlecht[[#This Row],[Geschlecht (Skala)]],1,1)&amp;MID(CI$16,1,1))</f>
        <v/>
      </c>
      <c r="CM43" s="190" t="str">
        <f>IF(OR(CL43="",SpeerwurfResultat[[#This Row],[Resultat]]=""),"",REPLACE(INDEX(StdDisziplinen[TabÜberschriftResultat],CI$3),FIND("X",INDEX(StdDisziplinen[TabÜberschriftResultat],CI$3),1),2,CL43))</f>
        <v/>
      </c>
      <c r="CN43" s="45" t="str">
        <f ca="1">IF(CM43="","",IF(OR(SpeerwurfResultat[[#This Row],[Resultat]]=Stammdaten!$AX$22,SpeerwurfResultat[[#This Row],[Resultat]]=Stammdaten!$AX$19),Stammdaten!$AX$19,IF(ISNA(INDEX(INDIRECT(CM43),MATCH(SpeerwurfGerundet[[#This Row],[Rundung]],INDIRECT(CM43),CM$18))),IF(CM$18=-1,LARGE(INDIRECT(CM43),1),SMALL(INDIRECT(CM43),1)),INDEX(INDIRECT(CM43),MATCH(SpeerwurfGerundet[[#This Row],[Rundung]],INDIRECT(CM43),CM$18)))))</f>
        <v/>
      </c>
      <c r="CP43" s="18" t="str">
        <f ca="1">IF(SpeerwurfSkalawert[[#This Row],[Skala-Wert]]="","",REPLACE(INDEX(StdDisziplinen[TabÜberschriftNote],CI$3),FIND("X",INDEX(StdDisziplinen[TabÜberschriftNote],CI$3),1),2,CL43))</f>
        <v/>
      </c>
      <c r="CQ43" s="31" t="str">
        <f ca="1">IF(OR(CP43="",SpeerwurfSkalawert[[#This Row],[Skala-Wert]]=Stammdaten!$AX$19),"",INDEX(INDIRECT(CP43),MATCH(SpeerwurfSkalawert[[#This Row],[Skala-Wert]],INDIRECT(CM43),0)))</f>
        <v/>
      </c>
      <c r="CR43" s="31"/>
      <c r="CS43" s="31" t="str">
        <f t="shared" ca="1" si="50"/>
        <v/>
      </c>
      <c r="CT43" s="31" t="str">
        <f t="shared" ca="1" si="50"/>
        <v/>
      </c>
      <c r="CU43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Row],[Skala-Wert]])&gt;0,MAX(CS43:CT43),99))</f>
        <v>Keine Note</v>
      </c>
      <c r="CV43" s="202" t="str">
        <f t="shared" ca="1" si="51"/>
        <v/>
      </c>
      <c r="CW43" s="202" t="str">
        <f ca="1">IF(CV43=$A$2,CS$10&amp;Stammdaten!$AX$25,IF(CU43=INDEX(StdFehler[],3),CS$10&amp;Stammdaten!$AX$27,INDEX(INDIRECT($B$4),MATCH(CV43,INDIRECT($B$5),0))))</f>
        <v>Sprintdisziplinen nicht durchgeführt</v>
      </c>
      <c r="CX43" s="202" t="str">
        <f ca="1">IFERROR(INDEX(INDIRECT(CX$12),MATCH(CV43,StdDisziplinen[ID],0)),"")</f>
        <v/>
      </c>
      <c r="CY43" s="202" t="e">
        <f t="shared" ca="1" si="52"/>
        <v>#N/A</v>
      </c>
      <c r="CZ43" s="202" t="e">
        <f t="shared" ca="1" si="53"/>
        <v>#N/A</v>
      </c>
      <c r="DA43" s="98" t="str">
        <f t="shared" ca="1" si="223"/>
        <v/>
      </c>
      <c r="DB43" s="202" t="e">
        <f t="shared" ca="1" si="54"/>
        <v>#N/A</v>
      </c>
      <c r="DC43" s="202" t="str">
        <f t="shared" ca="1" si="55"/>
        <v/>
      </c>
      <c r="DD43" s="31" t="str">
        <f t="shared" ca="1" si="56"/>
        <v/>
      </c>
      <c r="DE43" s="31" t="str">
        <f t="shared" ca="1" si="56"/>
        <v/>
      </c>
      <c r="DF43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Row],[Skala-Wert]])&gt;0,MAX(DD43:DE43),99))</f>
        <v>Keine Note</v>
      </c>
      <c r="DG43" s="202" t="str">
        <f t="shared" ca="1" si="57"/>
        <v/>
      </c>
      <c r="DH43" s="202" t="str">
        <f ca="1">IF(DG43=$A$2,DD$10&amp;Stammdaten!$AX$25,IF(DF43=INDEX(StdFehler[],3),DD$10&amp;Stammdaten!$AX$27,INDEX(INDIRECT($B$4),MATCH(DG43,INDIRECT($B$5),0))))</f>
        <v>Ausdauerdisziplinen nicht durchgeführt</v>
      </c>
      <c r="DI43" s="202" t="str">
        <f ca="1">IFERROR(INDEX(INDIRECT(DI$12),MATCH(DG43,StdDisziplinen[ID],0)),"")</f>
        <v/>
      </c>
      <c r="DJ43" s="202" t="e">
        <f t="shared" ca="1" si="58"/>
        <v>#N/A</v>
      </c>
      <c r="DK43" s="202" t="e">
        <f t="shared" ca="1" si="59"/>
        <v>#N/A</v>
      </c>
      <c r="DL43" s="96" t="str">
        <f t="shared" ca="1" si="60"/>
        <v/>
      </c>
      <c r="DM43" s="202" t="e">
        <f t="shared" ca="1" si="61"/>
        <v>#N/A</v>
      </c>
      <c r="DN43" s="202" t="str">
        <f t="shared" ca="1" si="62"/>
        <v/>
      </c>
      <c r="DO43" s="31" t="str">
        <f t="shared" ca="1" si="63"/>
        <v/>
      </c>
      <c r="DP43" s="31" t="str">
        <f t="shared" ca="1" si="63"/>
        <v/>
      </c>
      <c r="DQ43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Row],[Skala-Wert]])&gt;0,MAX(DO43:DP43),99))</f>
        <v>Keine Note</v>
      </c>
      <c r="DR43" s="202" t="str">
        <f t="shared" ca="1" si="64"/>
        <v/>
      </c>
      <c r="DS43" s="202" t="str">
        <f ca="1">IF(DR43=$A$2,DO$10&amp;Stammdaten!$AX$25,IF(DQ43=INDEX(StdFehler[],3),DO$10&amp;Stammdaten!$AX$27,INDEX(INDIRECT($B$4),MATCH(DR43,INDIRECT($B$5),0))))</f>
        <v>Sprungdisziplinen nicht durchgeführt</v>
      </c>
      <c r="DT43" s="202" t="str">
        <f ca="1">IFERROR(INDEX(INDIRECT(DT$12),MATCH(DR43,StdDisziplinen[ID],0)),"")</f>
        <v/>
      </c>
      <c r="DU43" s="202" t="e">
        <f t="shared" ca="1" si="65"/>
        <v>#N/A</v>
      </c>
      <c r="DV43" s="202" t="e">
        <f t="shared" ca="1" si="66"/>
        <v>#N/A</v>
      </c>
      <c r="DW43" s="202" t="str">
        <f t="shared" ca="1" si="67"/>
        <v/>
      </c>
      <c r="DX43" s="202" t="e">
        <f t="shared" ca="1" si="68"/>
        <v>#N/A</v>
      </c>
      <c r="DY43" s="202" t="str">
        <f t="shared" ca="1" si="69"/>
        <v/>
      </c>
      <c r="DZ43" s="31" t="str">
        <f ca="1">IF(BallwurfSkalawert[[#This Row],[Skala-Wert]]=$A$3,$A$2,IF(ISNUMBER(BallwurfSkalawert[[#This Row],[Skala-Wert]]),BallwurfNote[[#This Row],[Note]],"!"))</f>
        <v>!</v>
      </c>
      <c r="EA43" s="31" t="str">
        <f ca="1">IF(KugelstossenSkalawert[[#This Row],[Skala-Wert]]=$A$3,$A$2,IF(ISNUMBER(KugelstossenSkalawert[[#This Row],[Skala-Wert]]),KugelstossenNote[[#This Row],[Note]],"!"))</f>
        <v>!</v>
      </c>
      <c r="EB43" s="31" t="str">
        <f ca="1">IF(SpeerwurfSkalawert[[#This Row],[Skala-Wert]]=$A$3,$A$2,IF(ISNUMBER(SpeerwurfSkalawert[[#This Row],[Skala-Wert]]),SpeerwurfNote[[#This Row],[Note]],"!"))</f>
        <v>!</v>
      </c>
      <c r="EC43" s="95" t="str">
        <f ca="1">IF(ED43&gt;0,MAX(DZ43:EB43),IF(EE43&gt;0,99,INDEX(StdFehler[StdFehler],3)))</f>
        <v>Keine Note</v>
      </c>
      <c r="ED43" s="202">
        <f t="shared" ca="1" si="70"/>
        <v>0</v>
      </c>
      <c r="EE43" s="202">
        <f t="shared" ca="1" si="71"/>
        <v>0</v>
      </c>
      <c r="EF43" s="202" t="str">
        <f t="shared" ca="1" si="72"/>
        <v/>
      </c>
      <c r="EG43" s="202" t="str">
        <f ca="1">IF(EF43=$A$2,DZ$10&amp;Stammdaten!$AX$25,IF(EC43=INDEX(StdFehler[],3),DZ$10&amp;Stammdaten!$AX$27,INDEX(INDIRECT($B$4),MATCH(EF43,INDIRECT($B$5),0))))</f>
        <v>Wurfdisziplinen nicht durchgeführt</v>
      </c>
      <c r="EH43" s="202" t="str">
        <f ca="1">IFERROR(INDEX(INDIRECT(EH$12),MATCH(EF43,StdDisziplinen[ID],0)),"")</f>
        <v/>
      </c>
      <c r="EI43" s="202" t="e">
        <f t="shared" ca="1" si="73"/>
        <v>#N/A</v>
      </c>
      <c r="EJ43" s="202" t="e">
        <f t="shared" ca="1" si="74"/>
        <v>#N/A</v>
      </c>
      <c r="EK43" s="98" t="str">
        <f t="shared" ca="1" si="75"/>
        <v/>
      </c>
      <c r="EL43" s="202" t="e">
        <f t="shared" ca="1" si="76"/>
        <v>#N/A</v>
      </c>
      <c r="EM43" s="202" t="str">
        <f t="shared" ca="1" si="77"/>
        <v/>
      </c>
      <c r="EN43" s="200">
        <f t="shared" ca="1" si="1"/>
        <v>0</v>
      </c>
      <c r="EO43" s="202">
        <f t="shared" ca="1" si="78"/>
        <v>0</v>
      </c>
      <c r="EP43" s="96">
        <f t="shared" ca="1" si="2"/>
        <v>0</v>
      </c>
      <c r="EQ43" s="96">
        <f t="shared" ca="1" si="3"/>
        <v>0</v>
      </c>
      <c r="ER43" s="96">
        <f t="shared" ca="1" si="4"/>
        <v>0</v>
      </c>
      <c r="ES43" s="96">
        <f t="shared" ca="1" si="5"/>
        <v>0</v>
      </c>
      <c r="ET43" s="202">
        <f t="shared" ca="1" si="79"/>
        <v>0</v>
      </c>
      <c r="EU43" s="202" t="str">
        <f ca="1">IF($EO43=$FA$4,Stammdaten!$AX$19,IF(COUNTIF($EP43:$ES43,0)&lt;&gt;0,INDEX(StdFehler[StdFehler],4),ROUND(SUM($ET43/$EN43)/$FC$4,0)*$FC$4))</f>
        <v>Zu wenige Noten</v>
      </c>
      <c r="EV43" s="202" t="str">
        <f t="shared" ca="1" si="6"/>
        <v>Zu wenige Noten</v>
      </c>
      <c r="EW43" s="202" t="str">
        <f t="shared" ca="1" si="80"/>
        <v>Zu wenige Noten</v>
      </c>
      <c r="EX43" s="202" t="str">
        <f t="shared" ca="1" si="80"/>
        <v>Zu wenige Noten</v>
      </c>
      <c r="EY43" s="202" t="str">
        <f t="shared" ca="1" si="80"/>
        <v>Zu wenige Noten</v>
      </c>
      <c r="EZ43" s="202" t="str">
        <f t="shared" ca="1" si="81"/>
        <v>Zu wenige Noten</v>
      </c>
      <c r="FA43" s="202" t="str">
        <f t="shared" ca="1" si="82"/>
        <v>Zu wenige Noten</v>
      </c>
      <c r="FB43" s="31"/>
      <c r="FC43" s="56" t="str">
        <f t="shared" ca="1" si="83"/>
        <v>Zu wenige Noten</v>
      </c>
      <c r="FD43" s="31"/>
      <c r="FE43" s="597"/>
      <c r="FF43" s="190"/>
      <c r="FJ43" s="31"/>
      <c r="FK43" s="597"/>
      <c r="FL43" s="190"/>
      <c r="FP43" s="31"/>
      <c r="FQ43" s="597"/>
      <c r="FR43" s="190"/>
      <c r="FV43" s="31"/>
      <c r="FW43" s="597"/>
      <c r="FX43" s="190"/>
      <c r="GB43" s="31"/>
      <c r="GC43" s="597"/>
      <c r="GD43" s="190"/>
      <c r="GF43" s="154"/>
      <c r="GH43" s="31"/>
      <c r="GI43" s="597"/>
      <c r="GJ43" s="190"/>
      <c r="GN43" s="45"/>
      <c r="GO43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3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3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3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3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3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3" s="202">
        <f t="shared" si="7"/>
        <v>0</v>
      </c>
      <c r="GV43" s="202">
        <f t="shared" si="8"/>
        <v>0</v>
      </c>
      <c r="GW43" s="202">
        <f t="shared" si="84"/>
        <v>0</v>
      </c>
      <c r="GX43" s="200" t="str">
        <f t="shared" si="85"/>
        <v>!</v>
      </c>
      <c r="GY43" s="200" t="str">
        <f t="shared" si="9"/>
        <v>!</v>
      </c>
      <c r="GZ43" s="200" t="str">
        <f t="shared" si="10"/>
        <v>!</v>
      </c>
      <c r="HA43" s="244" t="str">
        <f t="shared" si="86"/>
        <v>nd</v>
      </c>
      <c r="HB43" s="244" t="str">
        <f t="shared" si="87"/>
        <v>nd</v>
      </c>
      <c r="HC43" s="244" t="str">
        <f t="shared" si="88"/>
        <v>nd</v>
      </c>
      <c r="HD43" s="244" t="str">
        <f t="shared" si="89"/>
        <v>nd</v>
      </c>
      <c r="HE43" s="244" t="str">
        <f t="shared" si="90"/>
        <v>nd</v>
      </c>
      <c r="HF43" s="244" t="str">
        <f t="shared" si="91"/>
        <v>nd</v>
      </c>
      <c r="HG43" s="202" t="b">
        <f t="shared" si="92"/>
        <v>0</v>
      </c>
      <c r="HH43" s="202">
        <f t="shared" si="93"/>
        <v>1</v>
      </c>
      <c r="HI43" s="202">
        <f t="shared" si="94"/>
        <v>0</v>
      </c>
      <c r="HJ43" s="200" t="str">
        <f t="shared" si="95"/>
        <v/>
      </c>
      <c r="HK43" s="200" t="str">
        <f t="shared" si="96"/>
        <v/>
      </c>
      <c r="HL43" s="200">
        <f t="shared" si="97"/>
        <v>0</v>
      </c>
      <c r="HM43" s="202" t="str">
        <f t="shared" si="98"/>
        <v/>
      </c>
      <c r="HN43" s="200" t="str">
        <f t="shared" si="99"/>
        <v/>
      </c>
      <c r="HO43" s="200" t="str">
        <f t="shared" si="100"/>
        <v/>
      </c>
      <c r="HP43" s="200" t="str">
        <f t="shared" si="101"/>
        <v/>
      </c>
      <c r="HQ43" s="242" t="str">
        <f t="shared" si="102"/>
        <v/>
      </c>
      <c r="HR43" s="242" t="str">
        <f t="shared" si="103"/>
        <v/>
      </c>
      <c r="HS43" s="242" t="str">
        <f t="shared" si="104"/>
        <v/>
      </c>
      <c r="HT43" s="242" t="str">
        <f t="shared" ca="1" si="105"/>
        <v>Erstes Gerät</v>
      </c>
      <c r="HU43" s="242" t="str">
        <f ca="1">IF(HT43=$HS$12,Stammdaten!$AY$27,IF(HW43=$A$2,TRIM(Stammdaten!$AX$25),""))</f>
        <v>nicht durchgeführt</v>
      </c>
      <c r="HV43" s="242" t="str">
        <f t="shared" ca="1" si="106"/>
        <v/>
      </c>
      <c r="HW43" s="277" t="str">
        <f t="shared" si="11"/>
        <v/>
      </c>
      <c r="HX43" s="202" t="str">
        <f t="shared" si="107"/>
        <v/>
      </c>
      <c r="HY43" s="202" t="str">
        <f t="shared" ca="1" si="108"/>
        <v/>
      </c>
      <c r="HZ43" s="202" t="str">
        <f t="shared" ca="1" si="109"/>
        <v>StdDisziplinen[MaxTextSt]</v>
      </c>
      <c r="IA43" s="202" t="str">
        <f t="shared" ca="1" si="12"/>
        <v/>
      </c>
      <c r="IB43" s="202" t="b">
        <f t="shared" si="110"/>
        <v>0</v>
      </c>
      <c r="IC43" s="202" t="str">
        <f t="shared" si="111"/>
        <v/>
      </c>
      <c r="ID43" s="202" t="str">
        <f t="shared" si="112"/>
        <v/>
      </c>
      <c r="IE43" s="202" t="str">
        <f t="shared" si="113"/>
        <v/>
      </c>
      <c r="IF43" s="202" t="str">
        <f t="shared" si="114"/>
        <v/>
      </c>
      <c r="IG43" s="242" t="str">
        <f t="shared" si="115"/>
        <v/>
      </c>
      <c r="IH43" s="242" t="str">
        <f t="shared" si="116"/>
        <v/>
      </c>
      <c r="II43" s="242" t="str">
        <f t="shared" ca="1" si="13"/>
        <v>Zweites Gerät</v>
      </c>
      <c r="IJ43" s="242" t="str">
        <f ca="1">IF(II43=$IH$12,Stammdaten!$AY$27,IF(IL43=$A$2,TRIM(Stammdaten!$AX$25),""))</f>
        <v>nicht durchgeführt</v>
      </c>
      <c r="IK43" s="242" t="str">
        <f t="shared" ca="1" si="117"/>
        <v/>
      </c>
      <c r="IL43" s="200" t="str">
        <f t="shared" si="14"/>
        <v/>
      </c>
      <c r="IM43" s="202" t="str">
        <f t="shared" si="118"/>
        <v/>
      </c>
      <c r="IN43" s="202" t="str">
        <f t="shared" ca="1" si="119"/>
        <v/>
      </c>
      <c r="IO43" s="202" t="str">
        <f t="shared" ca="1" si="120"/>
        <v>StdDisziplinen[MaxTextSt]</v>
      </c>
      <c r="IP43" s="202" t="str">
        <f t="shared" ca="1" si="121"/>
        <v/>
      </c>
      <c r="IQ43" s="202" t="b">
        <f t="shared" si="122"/>
        <v>0</v>
      </c>
      <c r="IR43" s="242" t="str">
        <f t="shared" ca="1" si="15"/>
        <v>Drittes Gerät</v>
      </c>
      <c r="IS43" s="242" t="str">
        <f ca="1">IF(IR43=$IR$12,MID(Stammdaten!$AX$27,2,LEN(Stammdaten!$AX$27)),IF(IU43=$A$2,TRIM(Stammdaten!$AX$25),""))</f>
        <v>nicht durchgeführt</v>
      </c>
      <c r="IT43" s="242" t="str">
        <f t="shared" ca="1" si="16"/>
        <v/>
      </c>
      <c r="IU43" s="200" t="str">
        <f t="shared" si="17"/>
        <v/>
      </c>
      <c r="IV43" s="202" t="str">
        <f t="shared" si="123"/>
        <v/>
      </c>
      <c r="IW43" s="202" t="str">
        <f t="shared" ca="1" si="124"/>
        <v/>
      </c>
      <c r="IX43" s="202" t="str">
        <f t="shared" ca="1" si="125"/>
        <v>StdDisziplinen[MaxTextSt]</v>
      </c>
      <c r="IY43" s="202" t="str">
        <f t="shared" ca="1" si="18"/>
        <v/>
      </c>
      <c r="IZ43" s="200" t="str">
        <f>IF(NOT(GW43),INDEX(StdFehler[StdFehler],4),IF(COUNTIF(GX43:GZ43,$A$2)&gt;=$IZ$4,$A$3,SUM(GX43:GZ43)))</f>
        <v>Zu wenige Noten</v>
      </c>
      <c r="JA43" s="31"/>
      <c r="JB43" s="587" t="e">
        <f t="shared" si="19"/>
        <v>#VALUE!</v>
      </c>
      <c r="JC43" s="191" t="str">
        <f>IF(OR(Geschlecht[[#This Row],[Geschlecht (Skala)]]="",IZ43=""),"",MID(Geschlecht[[#This Row],[Geschlecht (Skala)]],1,1)&amp;MID($FE$16,1,1))</f>
        <v/>
      </c>
      <c r="JD43" s="190" t="str">
        <f>IF(OR(JC43="",IZ43=""),"",REPLACE(INDEX(StdDisziplinen[TabÜberschriftResultat],$FE$3),FIND("X",INDEX(StdDisziplinen[TabÜberschriftResultat],$FE$3),1),2,JC43))</f>
        <v/>
      </c>
      <c r="JE43" s="192" t="str">
        <f ca="1">IF(OR(JD43="",IZ43=Stammdaten!$AZ$5),"",IF(OR(IZ43=Stammdaten!$AX$22,IZ43=Stammdaten!$AX$19),Stammdaten!$AX$19,IF(ISNA(INDEX(INDIRECT(JD43),MATCH(GeräteturnenGerundet[[#This Row],[Rundung]],INDIRECT(JD43),$JD$16))),IF($JD$16=-1,LARGE(INDIRECT(JD43),1),SMALL(INDIRECT(JD43),1)),INDEX(INDIRECT(JD43),MATCH(GeräteturnenGerundet[[#This Row],[Rundung]],INDIRECT(JD43),$JD$16)))))</f>
        <v/>
      </c>
      <c r="JG43" s="18" t="str">
        <f ca="1">IF(GeräteturnenSkalawert[[#This Row],[Skala-Wert]]="","",REPLACE(INDEX(StdDisziplinen[TabÜberschriftNote],$FE$3),FIND("X",INDEX(StdDisziplinen[TabÜberschriftNote],$FE$3),1),2,JC43))</f>
        <v/>
      </c>
      <c r="JH43" s="45" t="str">
        <f ca="1">IF(OR(JG43="",GeräteturnenSkalawert[[#This Row],[Skala-Wert]]=Stammdaten!$AX$19),"",INDEX(INDIRECT(JG43),MATCH(GeräteturnenSkalawert[[#This Row],[Skala-Wert]],INDIRECT(JD43),0)))</f>
        <v/>
      </c>
      <c r="JI43" s="31"/>
      <c r="JJ43" s="597"/>
      <c r="JK43" s="190"/>
      <c r="JL43" s="587">
        <f>IF(JL$16,IF(JM$16=0.5,MROUND(ParkourResultat[[#This Row],[Resultat]],JM$16),ROUND(ParkourResultat[[#This Row],[Resultat]],JM$16)),ROUNDDOWN(ParkourResultat[[#This Row],[Resultat]],JM$16))</f>
        <v>0</v>
      </c>
      <c r="JM43" s="191" t="str">
        <f>IF(OR(Geschlecht[[#This Row],[Geschlecht (Skala)]]="",JJ$16=""),"",MID(Geschlecht[[#This Row],[Geschlecht (Skala)]],1,1)&amp;MID(JJ$16,1,1))</f>
        <v/>
      </c>
      <c r="JN43" s="190" t="str">
        <f>IF(OR(JM43="",ParkourResultat[[#This Row],[Resultat]]=""),"",REPLACE(INDEX(StdDisziplinen[TabÜberschriftResultat],JJ$3),FIND("X",INDEX(StdDisziplinen[TabÜberschriftResultat],JJ$3),1),2,JM43))</f>
        <v/>
      </c>
      <c r="JO43" s="192" t="str">
        <f ca="1">IF(JN43="","",IF(OR(ParkourResultat[[#This Row],[Resultat]]=Stammdaten!$AX$22,ParkourResultat[[#This Row],[Resultat]]=Stammdaten!$AX$19),Stammdaten!$AX$19,IF(ISNA(INDEX(INDIRECT(JN43),MATCH(ParkourGerundet[[#This Row],[Rundung]],INDIRECT(JN43),JN$18))),IF(JN$18=-1,LARGE(INDIRECT(JN43),1),SMALL(INDIRECT(JN43),1)),INDEX(INDIRECT(JN43),MATCH(ParkourGerundet[[#This Row],[Rundung]],INDIRECT(JN43),JN$18)))))</f>
        <v/>
      </c>
      <c r="JQ43" s="18" t="str">
        <f ca="1">IF(ParkourSkalawert[[#This Row],[Skala-Wert]]="","",REPLACE(INDEX(StdDisziplinen[TabÜberschriftNote],JJ$3),FIND("X",INDEX(StdDisziplinen[TabÜberschriftNote],JJ$3),1),2,JM43))</f>
        <v/>
      </c>
      <c r="JR43" s="31" t="str">
        <f ca="1">IF(OR(JQ43="",ParkourSkalawert[[#This Row],[Skala-Wert]]=Stammdaten!$AX$19),"",INDEX(INDIRECT(JQ43),MATCH(ParkourSkalawert[[#This Row],[Skala-Wert]],INDIRECT(JN43),0)))</f>
        <v/>
      </c>
      <c r="JS43" s="96"/>
      <c r="JT43" s="47" t="str">
        <f ca="1">IF(OR(ISNUMBER(ParkourSkalawert[[#This Row],[Skala-Wert]]),ParkourSkalawert[[#This Row],[Skala-Wert]]=$A$3),INDEX(INDIRECT($JU$1),MATCH($JJ$3,INDIRECT($B$5),0)),"")</f>
        <v/>
      </c>
      <c r="JU43" s="200" t="str">
        <f t="shared" ca="1" si="126"/>
        <v>StdDisziplinen[MaxTextSt]</v>
      </c>
      <c r="JV43" s="200" t="str">
        <f t="shared" ca="1" si="127"/>
        <v/>
      </c>
      <c r="JW43" s="98">
        <f ca="1">IF(GeräteturnenSkalawert[[#This Row],[Skala-Wert]]=$A$3,$A$2,IF(GeräteturnenNote[[#This Row],[Note]]="",0,GeräteturnenNote[[#This Row],[Note]]))</f>
        <v>0</v>
      </c>
      <c r="JX43" s="96">
        <f ca="1">IF(ParkourSkalawert[[#This Row],[Skala-Wert]]=$A$3,$A$2,IF(ParkourNote[[#This Row],[Note]]="",0,ParkourNote[[#This Row],[Note]]))</f>
        <v>0</v>
      </c>
      <c r="JY43" s="200">
        <f t="shared" ca="1" si="128"/>
        <v>0</v>
      </c>
      <c r="JZ43" s="200">
        <f t="shared" ca="1" si="129"/>
        <v>0</v>
      </c>
      <c r="KA43" s="202">
        <f t="shared" ca="1" si="130"/>
        <v>0</v>
      </c>
      <c r="KB43" s="98" t="str">
        <f t="shared" ca="1" si="20"/>
        <v>!</v>
      </c>
      <c r="KC43" s="98" t="str">
        <f t="shared" ca="1" si="21"/>
        <v>!</v>
      </c>
      <c r="KD43" s="202" t="str">
        <f ca="1">IF(NOT(KA43),INDEX(StdFehler[StdFehler],4),IF(JZ43=$KA$12,$A$3,IF(JW43=$A$2,JX43,IF(JX43=$A$2,JW43,CONCATENATE(JW43,", ",JX43)))))</f>
        <v>Zu wenige Noten</v>
      </c>
      <c r="KE43" s="202" t="str">
        <f t="shared" ca="1" si="131"/>
        <v>Zu wenige Noten</v>
      </c>
      <c r="KF43" s="31"/>
      <c r="KG43" s="56" t="str">
        <f ca="1">IF(NOT(KA43),INDEX(StdFehler[StdFehler],4),IF(JZ43=$KA$12,$A$3,ROUND(AVERAGE(KB43:KC43)/$KG$4,0)*$KG$4))</f>
        <v>Zu wenige Noten</v>
      </c>
      <c r="KH43" s="31"/>
      <c r="KI43" s="599"/>
      <c r="KJ43" s="190"/>
      <c r="KK43" s="586">
        <f>IF(KK$16,IF(KL$16=0.5,MROUND(TanzenResultat[[#This Row],[Resultat]],KL$16),ROUND(TanzenResultat[[#This Row],[Resultat]],KL$16)),ROUNDDOWN(TanzenResultat[[#This Row],[Resultat]],KL$16))</f>
        <v>0</v>
      </c>
      <c r="KL43" s="191" t="str">
        <f>IF(OR(Geschlecht[[#This Row],[Geschlecht (Skala)]]="",KI$16=""),"",MID(Geschlecht[[#This Row],[Geschlecht (Skala)]],1,1)&amp;MID(KI$16,1,1))</f>
        <v/>
      </c>
      <c r="KM43" s="190" t="str">
        <f>IF(OR(KL43="",TanzenResultat[[#This Row],[Resultat]]=""),"",REPLACE(INDEX(StdDisziplinen[TabÜberschriftResultat],KI$3),FIND("X",INDEX(StdDisziplinen[TabÜberschriftResultat],KI$3),1),2,KL43))</f>
        <v/>
      </c>
      <c r="KN43" s="31" t="str">
        <f ca="1">IF(KM43="","",IF(OR(TanzenResultat[[#This Row],[Resultat]]=Stammdaten!$AX$22,TanzenResultat[[#This Row],[Resultat]]=Stammdaten!$AX$19),Stammdaten!$AX$19,IF(ISNA(INDEX(INDIRECT(KM43),MATCH(TanzenGerundet[[#This Row],[Rundung]],INDIRECT(KM43),KM$18))),IF(KM$18=-1,LARGE(INDIRECT(KM43),1),SMALL(INDIRECT(KM43),1)),INDEX(INDIRECT(KM43),MATCH(TanzenGerundet[[#This Row],[Rundung]],INDIRECT(KM43),KM$18)))))</f>
        <v/>
      </c>
      <c r="KP43" s="18" t="str">
        <f ca="1">IF(TanzenSkalawert[[#This Row],[Skala-Wert]]="","",REPLACE(INDEX(StdDisziplinen[TabÜberschriftNote],KI$3),FIND("X",INDEX(StdDisziplinen[TabÜberschriftNote],KI$3),1),2,KL43))</f>
        <v/>
      </c>
      <c r="KQ43" s="45" t="str">
        <f ca="1">IF(OR(KP43="",TanzenSkalawert[[#This Row],[Skala-Wert]]=Stammdaten!$AX$19),"",INDEX(INDIRECT(KP43),MATCH(TanzenSkalawert[[#This Row],[Skala-Wert]],INDIRECT(KM43),0)))</f>
        <v/>
      </c>
      <c r="KR43" s="31"/>
      <c r="KS43" s="597"/>
      <c r="KT43" s="190"/>
      <c r="KU43" s="587">
        <f>IF(KU$16,IF(KV$16=0.5,MROUND(RopeSkippingResultat[[#This Row],[Resultat]],KV$16),ROUND(RopeSkippingResultat[[#This Row],[Resultat]],KV$16)),ROUNDDOWN(RopeSkippingResultat[[#This Row],[Resultat]],KV$16))</f>
        <v>0</v>
      </c>
      <c r="KV43" s="191" t="str">
        <f>IF(OR(Geschlecht[[#This Row],[Geschlecht (Skala)]]="",KS$16=""),"",MID(Geschlecht[[#This Row],[Geschlecht (Skala)]],1,1)&amp;MID(KS$16,1,1))</f>
        <v/>
      </c>
      <c r="KW43" s="190" t="str">
        <f>IF(OR(KV43="",RopeSkippingResultat[[#This Row],[Resultat]]=""),"",REPLACE(INDEX(StdDisziplinen[TabÜberschriftResultat],KS$3),FIND("X",INDEX(StdDisziplinen[TabÜberschriftResultat],KS$3),1),2,KV43))</f>
        <v/>
      </c>
      <c r="KX43" s="192" t="str">
        <f ca="1">IF(KW43="","",IF(OR(RopeSkippingResultat[[#This Row],[Resultat]]=Stammdaten!$AX$22,RopeSkippingResultat[[#This Row],[Resultat]]=Stammdaten!$AX$19),Stammdaten!$AX$19,IF(ISNA(INDEX(INDIRECT(KW43),MATCH(RopeSkippingGerundet[[#This Row],[Rundung]],INDIRECT(KW43),KW$18))),IF(KW$18=-1,LARGE(INDIRECT(KW43),1),SMALL(INDIRECT(KW43),1)),INDEX(INDIRECT(KW43),MATCH(RopeSkippingGerundet[[#This Row],[Rundung]],INDIRECT(KW43),KW$18)))))</f>
        <v/>
      </c>
      <c r="KZ43" s="18" t="str">
        <f ca="1">IF(RopeSkippingSkalawert[[#This Row],[Skala-Wert]]="","",REPLACE(INDEX(StdDisziplinen[TabÜberschriftNote],KS$3),FIND("X",INDEX(StdDisziplinen[TabÜberschriftNote],KS$3),1),2,KV43))</f>
        <v/>
      </c>
      <c r="LA43" s="45" t="str">
        <f ca="1">IF(OR(KZ43="",RopeSkippingSkalawert[[#This Row],[Skala-Wert]]=Stammdaten!$AX$19),"",INDEX(INDIRECT(KZ43),MATCH(RopeSkippingSkalawert[[#This Row],[Skala-Wert]],INDIRECT(KW43),0)))</f>
        <v/>
      </c>
      <c r="LB43" s="31"/>
      <c r="LC43" s="599"/>
      <c r="LD43" s="190"/>
      <c r="LE43" s="586">
        <f>IF(LE$16,IF(LF$16=0.5,MROUND(AerobicResultat[[#This Row],[Resultat]],LF$16),ROUND(AerobicResultat[[#This Row],[Resultat]],LF$16)),ROUNDDOWN(AerobicResultat[[#This Row],[Resultat]],LF$16))</f>
        <v>0</v>
      </c>
      <c r="LF43" s="191" t="str">
        <f>IF(OR(Geschlecht[[#This Row],[Geschlecht (Skala)]]="",LC$16=""),"",MID(Geschlecht[[#This Row],[Geschlecht (Skala)]],1,1)&amp;MID(LC$16,1,1))</f>
        <v/>
      </c>
      <c r="LG43" s="190" t="str">
        <f>IF(OR(LF43="",AerobicResultat[[#This Row],[Resultat]]=""),"",REPLACE(INDEX(StdDisziplinen[TabÜberschriftResultat],LC$3),FIND("X",INDEX(StdDisziplinen[TabÜberschriftResultat],LC$3),1),2,LF43))</f>
        <v/>
      </c>
      <c r="LH43" s="31" t="str">
        <f ca="1">IF(LG43="","",IF(OR(AerobicResultat[[#This Row],[Resultat]]=Stammdaten!$AX$22,AerobicResultat[[#This Row],[Resultat]]=Stammdaten!$AX$19),Stammdaten!$AX$19,IF(ISNA(INDEX(INDIRECT(LG43),MATCH(AerobicGerundet[[#This Row],[Rundung]],INDIRECT(LG43),LG$18))),IF(LG$18=-1,LARGE(INDIRECT(LG43),1),SMALL(INDIRECT(LG43),1)),INDEX(INDIRECT(LG43),MATCH(AerobicGerundet[[#This Row],[Rundung]],INDIRECT(LG43),LG$18)))))</f>
        <v/>
      </c>
      <c r="LJ43" s="18" t="str">
        <f ca="1">IF(AerobicSkalawert[[#This Row],[Skala-Wert]]="","",REPLACE(INDEX(StdDisziplinen[TabÜberschriftNote],LC$3),FIND("X",INDEX(StdDisziplinen[TabÜberschriftNote],LC$3),1),2,LF43))</f>
        <v/>
      </c>
      <c r="LK43" s="45" t="str">
        <f ca="1">IF(OR(LJ43="",AerobicSkalawert[[#This Row],[Skala-Wert]]=Stammdaten!$AX$19),"",INDEX(INDIRECT(LJ43),MATCH(AerobicSkalawert[[#This Row],[Skala-Wert]],INDIRECT(LG43),0)))</f>
        <v/>
      </c>
      <c r="LL43" s="31"/>
      <c r="LM43" s="45" t="str">
        <f ca="1">IF(TanzenSkalawert[[#This Row],[Skala-Wert]]=$A$3,$A$2,IF(ISNUMBER(TanzenSkalawert[[#This Row],[Skala-Wert]]),TanzenNote[[#This Row],[Note]],"!"))</f>
        <v>!</v>
      </c>
      <c r="LN43" s="45" t="str">
        <f ca="1">IF(RopeSkippingSkalawert[[#This Row],[Skala-Wert]]=$A$3,$A$2,IF(ISNUMBER(RopeSkippingSkalawert[[#This Row],[Skala-Wert]]),RopeSkippingNote[[#This Row],[Note]],"!"))</f>
        <v>!</v>
      </c>
      <c r="LO43" s="45" t="str">
        <f ca="1">IF(AerobicSkalawert[[#This Row],[Skala-Wert]]=$A$3,$A$2,IF(ISNUMBER(AerobicSkalawert[[#This Row],[Skala-Wert]]),AerobicNote[[#This Row],[Note]],"!"))</f>
        <v>!</v>
      </c>
      <c r="LP43" s="36">
        <f t="shared" ca="1" si="132"/>
        <v>0</v>
      </c>
      <c r="LQ43" s="36">
        <f t="shared" ca="1" si="133"/>
        <v>0</v>
      </c>
      <c r="LR43" s="244" t="str">
        <f t="shared" ca="1" si="22"/>
        <v>nd</v>
      </c>
      <c r="LS43" s="244" t="str">
        <f t="shared" ca="1" si="23"/>
        <v>nd</v>
      </c>
      <c r="LT43" s="244" t="str">
        <f t="shared" ca="1" si="24"/>
        <v>nd</v>
      </c>
      <c r="LU43" s="242" t="str">
        <f t="shared" ca="1" si="25"/>
        <v/>
      </c>
      <c r="LV43" s="242" t="str">
        <f t="shared" ca="1" si="134"/>
        <v/>
      </c>
      <c r="LW43" s="242" t="str">
        <f t="shared" ca="1" si="135"/>
        <v/>
      </c>
      <c r="LX43" s="242" t="str">
        <f ca="1">IF(LW43="",Stammdaten!$AM$4,INDEX(INDIRECT($B$4),MATCH($LW43,INDIRECT($B$5),0)))</f>
        <v>Darstellen und Tanzen</v>
      </c>
      <c r="LY43" s="242" t="str">
        <f ca="1">IF(LW43="",Stammdaten!$AY$27,IF(ISNUMBER(LU43),LX43,IF(ISNUMBER(LV43),TRIM(Stammdaten!$AX$25),"")))</f>
        <v>nicht durchgeführt</v>
      </c>
      <c r="LZ43" s="242" t="str">
        <f t="shared" ca="1" si="136"/>
        <v>Darstellen und Tanzen</v>
      </c>
      <c r="MA43" s="242" t="str">
        <f t="shared" ca="1" si="137"/>
        <v/>
      </c>
      <c r="MB43" s="242" t="str">
        <f t="shared" ca="1" si="26"/>
        <v>Darstellen und TanzenResultat[@Resultat]</v>
      </c>
      <c r="MC43" s="274" t="str">
        <f t="shared" ca="1" si="138"/>
        <v/>
      </c>
      <c r="MD43" s="242" t="str">
        <f t="shared" ca="1" si="139"/>
        <v>Darstellen und TanzenSkalawert[@[Skala-Wert]]</v>
      </c>
      <c r="ME43" s="274" t="str">
        <f t="shared" ca="1" si="140"/>
        <v/>
      </c>
      <c r="MF43" s="47" t="str">
        <f t="shared" ca="1" si="27"/>
        <v/>
      </c>
      <c r="MG43" s="200" t="str">
        <f t="shared" ca="1" si="141"/>
        <v>StdDisziplinen[MaxTextSt]</v>
      </c>
      <c r="MH43" s="200" t="str">
        <f t="shared" ca="1" si="142"/>
        <v/>
      </c>
      <c r="MI43" s="45"/>
      <c r="MJ43" s="98" t="str">
        <f ca="1">IF(LP43&gt;0,MAX(LM43:LO43),IF(LQ43&gt;0,$A$3,INDEX(StdFehler[StdFehler],4)))</f>
        <v>Zu wenige Noten</v>
      </c>
      <c r="MK43" s="45"/>
      <c r="ML43" s="37"/>
      <c r="MM43" s="190"/>
      <c r="MN43" s="586">
        <f>IF(MN$16,IF(MO$16=0.5,MROUND(BasketballResultat[[#This Row],[Resultat]],MO$16),ROUND(BasketballResultat[[#This Row],[Resultat]],MO$16)),ROUNDDOWN(BasketballResultat[[#This Row],[Resultat]],MO$16))</f>
        <v>0</v>
      </c>
      <c r="MO43" s="191" t="str">
        <f>IF(OR(Geschlecht[[#This Row],[Geschlecht (Skala)]]="",ML$16=""),"",MID(Geschlecht[[#This Row],[Geschlecht (Skala)]],1,1)&amp;MID(ML$16,1,1))</f>
        <v/>
      </c>
      <c r="MP43" s="190" t="str">
        <f>IF(OR(MO43="",BasketballResultat[[#This Row],[Resultat]]=""),"",REPLACE(INDEX(StdDisziplinen[TabÜberschriftResultat],ML$3),FIND("X",INDEX(StdDisziplinen[TabÜberschriftResultat],ML$3),1),2,MO43))</f>
        <v/>
      </c>
      <c r="MQ43" s="31" t="str">
        <f ca="1">IF(MP43="","",IF(OR(BasketballResultat[[#This Row],[Resultat]]=Stammdaten!$AX$22,BasketballResultat[[#This Row],[Resultat]]=Stammdaten!$AX$19),Stammdaten!$AX$19,IF(ISNA(INDEX(INDIRECT(MP43),MATCH(BasketballGerundet[[#This Row],[Rundung]],INDIRECT(MP43),MP$18))),IF(MP$18=-1,LARGE(INDIRECT(MP43),1),SMALL(INDIRECT(MP43),1)),INDEX(INDIRECT(MP43),MATCH(BasketballGerundet[[#This Row],[Rundung]],INDIRECT(MP43),MP$18)))))</f>
        <v/>
      </c>
      <c r="MS43" s="18" t="str">
        <f ca="1">IF(BasketballSkalawert[[#This Row],[Skala-Wert]]="","",REPLACE(INDEX(StdDisziplinen[TabÜberschriftNote],ML$3),FIND("X",INDEX(StdDisziplinen[TabÜberschriftNote],ML$3),1),2,MO43))</f>
        <v/>
      </c>
      <c r="MT43" s="31" t="str">
        <f ca="1">IF(OR(MS43="",BasketballSkalawert[[#This Row],[Skala-Wert]]=Stammdaten!$AX$19),"",INDEX(INDIRECT(MS43),MATCH(BasketballSkalawert[[#This Row],[Skala-Wert]],INDIRECT(MP43),0)))</f>
        <v/>
      </c>
      <c r="MU43" s="31"/>
      <c r="MV43" s="37"/>
      <c r="MW43" s="190"/>
      <c r="MX43" s="586">
        <f>IF(MX$16,IF(MY$16=0.5,MROUND(FussballResultat[[#This Row],[Resultat]],MY$16),ROUND(FussballResultat[[#This Row],[Resultat]],MY$16)),ROUNDDOWN(FussballResultat[[#This Row],[Resultat]],MY$16))</f>
        <v>0</v>
      </c>
      <c r="MY43" s="191" t="str">
        <f>IF(OR(Geschlecht[[#This Row],[Geschlecht (Skala)]]="",MV$16=""),"",MID(Geschlecht[[#This Row],[Geschlecht (Skala)]],1,1)&amp;MID(MV$16,1,1))</f>
        <v/>
      </c>
      <c r="MZ43" s="190" t="str">
        <f>IF(OR(MY43="",FussballResultat[[#This Row],[Resultat]]=""),"",REPLACE(INDEX(StdDisziplinen[TabÜberschriftResultat],MV$3),FIND("X",INDEX(StdDisziplinen[TabÜberschriftResultat],MV$3),1),2,MY43))</f>
        <v/>
      </c>
      <c r="NA43" s="31" t="str">
        <f ca="1">IF(MZ43="","",IF(OR(FussballResultat[[#This Row],[Resultat]]=Stammdaten!$AX$22,FussballResultat[[#This Row],[Resultat]]=Stammdaten!$AX$19),Stammdaten!$AX$19,IF(ISNA(INDEX(INDIRECT(MZ43),MATCH(FussballGerundet[[#This Row],[Rundung]],INDIRECT(MZ43),MZ$18))),IF(MZ$18=-1,LARGE(INDIRECT(MZ43),1),SMALL(INDIRECT(MZ43),1)),INDEX(INDIRECT(MZ43),MATCH(FussballGerundet[[#This Row],[Rundung]],INDIRECT(MZ43),MZ$18)))))</f>
        <v/>
      </c>
      <c r="NC43" s="18" t="str">
        <f ca="1">IF(FussballSkalawert[[#This Row],[Skala-Wert]]="","",REPLACE(INDEX(StdDisziplinen[TabÜberschriftNote],MV$3),FIND("X",INDEX(StdDisziplinen[TabÜberschriftNote],MV$3),1),2,MY43))</f>
        <v/>
      </c>
      <c r="ND43" s="31" t="str">
        <f ca="1">IF(OR(NC43="",FussballSkalawert[[#This Row],[Skala-Wert]]=Stammdaten!$AX$19),"",INDEX(INDIRECT(NC43),MATCH(FussballSkalawert[[#This Row],[Skala-Wert]],INDIRECT(MZ43),0)))</f>
        <v/>
      </c>
      <c r="NE43" s="31"/>
      <c r="NF43" s="37"/>
      <c r="NG43" s="190"/>
      <c r="NH43" s="586">
        <f>IF(NH$16,IF(NI$16=0.5,MROUND(HandballResultat[[#This Row],[Resultat]],NI$16),ROUND(HandballResultat[[#This Row],[Resultat]],NI$16)),ROUNDDOWN(HandballResultat[[#This Row],[Resultat]],NI$16))</f>
        <v>0</v>
      </c>
      <c r="NI43" s="191" t="str">
        <f>IF(OR(Geschlecht[[#This Row],[Geschlecht (Skala)]]="",NF$16=""),"",MID(Geschlecht[[#This Row],[Geschlecht (Skala)]],1,1)&amp;MID(NF$16,1,1))</f>
        <v/>
      </c>
      <c r="NJ43" s="190" t="str">
        <f>IF(OR(NI43="",HandballResultat[[#This Row],[Resultat]]=""),"",REPLACE(INDEX(StdDisziplinen[TabÜberschriftResultat],NF$3),FIND("X",INDEX(StdDisziplinen[TabÜberschriftResultat],NF$3),1),2,NI43))</f>
        <v/>
      </c>
      <c r="NK43" s="31" t="str">
        <f ca="1">IF(NJ43="","",IF(OR(HandballResultat[[#This Row],[Resultat]]=Stammdaten!$AX$22,HandballResultat[[#This Row],[Resultat]]=Stammdaten!$AX$19),Stammdaten!$AX$19,IF(ISNA(INDEX(INDIRECT(NJ43),MATCH(HandballGerundet[[#This Row],[Rundung]],INDIRECT(NJ43),NJ$18))),IF(NJ$18=-1,LARGE(INDIRECT(NJ43),1),SMALL(INDIRECT(NJ43),1)),INDEX(INDIRECT(NJ43),MATCH(HandballGerundet[[#This Row],[Rundung]],INDIRECT(NJ43),NJ$18)))))</f>
        <v/>
      </c>
      <c r="NM43" s="18" t="str">
        <f ca="1">IF(HandballSkalawert[[#This Row],[Skala-Wert]]="","",REPLACE(INDEX(StdDisziplinen[TabÜberschriftNote],NF$3),FIND("X",INDEX(StdDisziplinen[TabÜberschriftNote],NF$3),1),2,NI43))</f>
        <v/>
      </c>
      <c r="NN43" s="31" t="str">
        <f ca="1">IF(OR(NM43="",HandballSkalawert[[#This Row],[Skala-Wert]]=Stammdaten!$AX$19),"",INDEX(INDIRECT(NM43),MATCH(HandballSkalawert[[#This Row],[Skala-Wert]],INDIRECT(NJ43),0)))</f>
        <v/>
      </c>
      <c r="NO43" s="31"/>
      <c r="NP43" s="37"/>
      <c r="NQ43" s="190"/>
      <c r="NR43" s="586">
        <f>IF(NR$16,IF(NS$16=0.5,MROUND(UnihockeyResultat[[#This Row],[Resultat]],NS$16),ROUND(UnihockeyResultat[[#This Row],[Resultat]],NS$16)),ROUNDDOWN(UnihockeyResultat[[#This Row],[Resultat]],NS$16))</f>
        <v>0</v>
      </c>
      <c r="NS43" s="191" t="str">
        <f>IF(OR(Geschlecht[[#This Row],[Geschlecht (Skala)]]="",NP$16=""),"",MID(Geschlecht[[#This Row],[Geschlecht (Skala)]],1,1)&amp;MID(NP$16,1,1))</f>
        <v/>
      </c>
      <c r="NT43" s="190" t="str">
        <f>IF(OR(NS43="",UnihockeyResultat[[#This Row],[Resultat]]=""),"",REPLACE(INDEX(StdDisziplinen[TabÜberschriftResultat],NP$3),FIND("X",INDEX(StdDisziplinen[TabÜberschriftResultat],NP$3),1),2,NS43))</f>
        <v/>
      </c>
      <c r="NU43" s="31" t="str">
        <f ca="1">IF(NT43="","",IF(OR(UnihockeyResultat[[#This Row],[Resultat]]=Stammdaten!$AX$22,UnihockeyResultat[[#This Row],[Resultat]]=Stammdaten!$AX$19),Stammdaten!$AX$19,IF(ISNA(INDEX(INDIRECT(NT43),MATCH(UnihockeyGerundet[[#This Row],[Rundung]],INDIRECT(NT43),NT$18))),IF(NT$18=-1,LARGE(INDIRECT(NT43),1),SMALL(INDIRECT(NT43),1)),INDEX(INDIRECT(NT43),MATCH(UnihockeyGerundet[[#This Row],[Rundung]],INDIRECT(NT43),NT$18)))))</f>
        <v/>
      </c>
      <c r="NW43" s="18" t="str">
        <f ca="1">IF(UnihockeySkalawert[[#This Row],[Skala-Wert]]="","",REPLACE(INDEX(StdDisziplinen[TabÜberschriftNote],NP$3),FIND("X",INDEX(StdDisziplinen[TabÜberschriftNote],NP$3),1),2,NS43))</f>
        <v/>
      </c>
      <c r="NX43" s="31" t="str">
        <f ca="1">IF(OR(NW43="",UnihockeySkalawert[[#This Row],[Skala-Wert]]=Stammdaten!$AX$19),"",INDEX(INDIRECT(NW43),MATCH(UnihockeySkalawert[[#This Row],[Skala-Wert]],INDIRECT(NT43),0)))</f>
        <v/>
      </c>
      <c r="NY43" s="31"/>
      <c r="NZ43" s="597"/>
      <c r="OA43" s="190"/>
      <c r="OB43" s="587">
        <f>IF(OB$16,IF(OC$16=0.5,MROUND(VolleyballResultat[[#This Row],[Resultat]],OC$16),ROUND(VolleyballResultat[[#This Row],[Resultat]],OC$16)),ROUNDDOWN(VolleyballResultat[[#This Row],[Resultat]],OC$16))</f>
        <v>0</v>
      </c>
      <c r="OC43" s="191" t="str">
        <f>IF(OR(Geschlecht[[#This Row],[Geschlecht (Skala)]]="",NZ$16=""),"",MID(Geschlecht[[#This Row],[Geschlecht (Skala)]],1,1)&amp;MID(NZ$16,1,1))</f>
        <v/>
      </c>
      <c r="OD43" s="190" t="str">
        <f>IF(OR(OC43="",VolleyballResultat[[#This Row],[Resultat]]=""),"",REPLACE(INDEX(StdDisziplinen[TabÜberschriftResultat],NZ$3),FIND("X",INDEX(StdDisziplinen[TabÜberschriftResultat],NZ$3),1),2,OC43))</f>
        <v/>
      </c>
      <c r="OE43" s="192" t="str">
        <f ca="1">IF(OD43="","",IF(OR(VolleyballResultat[[#This Row],[Resultat]]=Stammdaten!$AX$22,VolleyballResultat[[#This Row],[Resultat]]=Stammdaten!$AX$19),Stammdaten!$AX$19,IF(ISNA(INDEX(INDIRECT(OD43),MATCH(VolleyballGerundet[[#This Row],[Rundung]],INDIRECT(OD43),OD$18))),IF(OD$18=-1,LARGE(INDIRECT(OD43),1),SMALL(INDIRECT(OD43),1)),INDEX(INDIRECT(OD43),MATCH(VolleyballGerundet[[#This Row],[Rundung]],INDIRECT(OD43),OD$18)))))</f>
        <v/>
      </c>
      <c r="OG43" s="18" t="str">
        <f ca="1">IF(VolleyballSkalawert[[#This Row],[Skala-Wert]]="","",REPLACE(INDEX(StdDisziplinen[TabÜberschriftNote],NZ$3),FIND("X",INDEX(StdDisziplinen[TabÜberschriftNote],NZ$3),1),2,OC43))</f>
        <v/>
      </c>
      <c r="OH43" s="31" t="str">
        <f ca="1">IF(OR(OG43="",VolleyballSkalawert[[#This Row],[Skala-Wert]]=Stammdaten!$AX$19),"",INDEX(INDIRECT(OG43),MATCH(VolleyballSkalawert[[#This Row],[Skala-Wert]],INDIRECT(OD43),0)))</f>
        <v/>
      </c>
      <c r="OI43" s="45"/>
      <c r="OJ43" s="31">
        <f ca="1">IF(BasketballSkalawert[[#This Row],[Skala-Wert]]=$A$3,$A$2,IF(BasketballNote[[#This Row],[Note]]="",0,BasketballNote[[#This Row],[Note]]))</f>
        <v>0</v>
      </c>
      <c r="OK43" s="31">
        <f ca="1">IF(FussballSkalawert[[#This Row],[Skala-Wert]]=$A$3,$A$2,IF(FussballNote[[#This Row],[Note]]="",0,FussballNote[[#This Row],[Note]]))</f>
        <v>0</v>
      </c>
      <c r="OL43" s="31">
        <f ca="1">IF(HandballSkalawert[[#This Row],[Skala-Wert]]=$A$3,$A$2,IF(HandballNote[[#This Row],[Note]]="",0,HandballNote[[#This Row],[Note]]))</f>
        <v>0</v>
      </c>
      <c r="OM43" s="31">
        <f ca="1">IF(UnihockeySkalawert[[#This Row],[Skala-Wert]]=$A$3,$A$2,IF(UnihockeyNote[[#This Row],[Note]]="",0,UnihockeyNote[[#This Row],[Note]]))</f>
        <v>0</v>
      </c>
      <c r="ON43" s="31">
        <f ca="1">IF(VolleyballSkalawert[[#This Row],[Skala-Wert]]=$A$3,$A$2,IF(VolleyballNote[[#This Row],[Note]]="",0,VolleyballNote[[#This Row],[Note]]))</f>
        <v>0</v>
      </c>
      <c r="OO43" s="202">
        <f t="shared" ca="1" si="28"/>
        <v>0</v>
      </c>
      <c r="OP43" s="202">
        <f t="shared" ca="1" si="29"/>
        <v>0</v>
      </c>
      <c r="OQ43" s="202">
        <f t="shared" ca="1" si="143"/>
        <v>0</v>
      </c>
      <c r="OR43" s="96" t="str">
        <f t="shared" ca="1" si="144"/>
        <v>!</v>
      </c>
      <c r="OS43" s="96" t="str">
        <f t="shared" ca="1" si="30"/>
        <v>!</v>
      </c>
      <c r="OT43" s="96" t="str">
        <f t="shared" ca="1" si="31"/>
        <v>!</v>
      </c>
      <c r="OU43" s="96" t="str">
        <f ca="1">IF(NOT(OQ43),INDEX(StdFehler[StdFehler],4),IF(COUNTIF(OR43:OT43,$A$2)&gt;=$OQ$13,$A$3,ROUND(AVERAGE(OR43:OT43)/$RX$4,0)*$RX$4))</f>
        <v>Zu wenige Noten</v>
      </c>
      <c r="OV43" s="244" t="str">
        <f t="shared" ca="1" si="145"/>
        <v>nd</v>
      </c>
      <c r="OW43" s="244" t="str">
        <f t="shared" ca="1" si="146"/>
        <v>nd</v>
      </c>
      <c r="OX43" s="244" t="str">
        <f t="shared" ca="1" si="147"/>
        <v>nd</v>
      </c>
      <c r="OY43" s="244" t="str">
        <f t="shared" ca="1" si="148"/>
        <v>nd</v>
      </c>
      <c r="OZ43" s="244" t="str">
        <f t="shared" ca="1" si="149"/>
        <v>nd</v>
      </c>
      <c r="PA43" s="202" t="b">
        <f t="shared" ca="1" si="150"/>
        <v>0</v>
      </c>
      <c r="PB43" s="202">
        <f t="shared" ca="1" si="151"/>
        <v>1</v>
      </c>
      <c r="PC43" s="202">
        <f t="shared" ca="1" si="152"/>
        <v>0</v>
      </c>
      <c r="PD43" s="96" t="str">
        <f t="shared" ca="1" si="153"/>
        <v/>
      </c>
      <c r="PE43" s="96" t="str">
        <f t="shared" ca="1" si="154"/>
        <v/>
      </c>
      <c r="PF43" s="200">
        <f t="shared" ca="1" si="155"/>
        <v>0</v>
      </c>
      <c r="PG43" s="202" t="str">
        <f t="shared" ca="1" si="156"/>
        <v/>
      </c>
      <c r="PH43" s="200" t="str">
        <f t="shared" ca="1" si="157"/>
        <v/>
      </c>
      <c r="PI43" s="200" t="str">
        <f t="shared" ca="1" si="158"/>
        <v/>
      </c>
      <c r="PJ43" s="200" t="str">
        <f t="shared" ca="1" si="159"/>
        <v/>
      </c>
      <c r="PK43" s="242" t="str">
        <f t="shared" ca="1" si="160"/>
        <v/>
      </c>
      <c r="PL43" s="242" t="str">
        <f t="shared" ca="1" si="161"/>
        <v/>
      </c>
      <c r="PM43" s="242" t="str">
        <f t="shared" ca="1" si="162"/>
        <v/>
      </c>
      <c r="PN43" s="242" t="str">
        <f t="shared" ca="1" si="163"/>
        <v>Erste Spielsportart</v>
      </c>
      <c r="PO43" s="242" t="str">
        <f ca="1">IF(PN43=$PM$11,Stammdaten!$AY$27,IF(PR43=$A$2,TRIM(Stammdaten!$AX$25),""))</f>
        <v>nicht durchgeführt</v>
      </c>
      <c r="PP43" s="242" t="str">
        <f t="shared" ca="1" si="164"/>
        <v/>
      </c>
      <c r="PQ43" s="202" t="str">
        <f t="shared" ca="1" si="165"/>
        <v>Erste SpielsportartResultat[@Resultat]</v>
      </c>
      <c r="PR43" s="98" t="str">
        <f t="shared" ca="1" si="166"/>
        <v/>
      </c>
      <c r="PS43" s="202" t="str">
        <f t="shared" ca="1" si="167"/>
        <v/>
      </c>
      <c r="PT43" s="202" t="str">
        <f t="shared" ca="1" si="168"/>
        <v>Erste SpielsportartSkalawert[@[Skala-Wert]]</v>
      </c>
      <c r="PU43" s="98" t="str">
        <f t="shared" ca="1" si="169"/>
        <v/>
      </c>
      <c r="PV43" s="202" t="str">
        <f t="shared" ca="1" si="170"/>
        <v/>
      </c>
      <c r="PW43" s="202" t="str">
        <f t="shared" ca="1" si="171"/>
        <v/>
      </c>
      <c r="PX43" s="202" t="str">
        <f t="shared" ca="1" si="172"/>
        <v>StdDisziplinen[MaxTextSt]</v>
      </c>
      <c r="PY43" s="202" t="str">
        <f t="shared" ca="1" si="173"/>
        <v/>
      </c>
      <c r="PZ43" s="202" t="b">
        <f t="shared" ca="1" si="174"/>
        <v>0</v>
      </c>
      <c r="QA43" s="202" t="str">
        <f t="shared" ca="1" si="175"/>
        <v/>
      </c>
      <c r="QB43" s="202" t="str">
        <f t="shared" ca="1" si="32"/>
        <v/>
      </c>
      <c r="QC43" s="202" t="str">
        <f t="shared" ca="1" si="176"/>
        <v/>
      </c>
      <c r="QD43" s="202" t="str">
        <f t="shared" ca="1" si="177"/>
        <v/>
      </c>
      <c r="QE43" s="242" t="str">
        <f t="shared" ca="1" si="178"/>
        <v/>
      </c>
      <c r="QF43" s="242" t="str">
        <f t="shared" ca="1" si="179"/>
        <v/>
      </c>
      <c r="QG43" s="242" t="str">
        <f t="shared" ca="1" si="180"/>
        <v>Zweite Spielsportart</v>
      </c>
      <c r="QH43" s="242" t="str">
        <f ca="1">IF(QG43=$QF$11,Stammdaten!$AY$27,IF(QK43=$A$2,TRIM(Stammdaten!$AX$25),""))</f>
        <v>nicht durchgeführt</v>
      </c>
      <c r="QI43" s="242" t="str">
        <f t="shared" ca="1" si="181"/>
        <v/>
      </c>
      <c r="QJ43" s="202" t="str">
        <f t="shared" ca="1" si="182"/>
        <v>Zweite SpielsportartResultat[@Resultat]</v>
      </c>
      <c r="QK43" s="98" t="str">
        <f t="shared" ca="1" si="183"/>
        <v/>
      </c>
      <c r="QL43" s="202" t="str">
        <f t="shared" ca="1" si="184"/>
        <v/>
      </c>
      <c r="QM43" s="202" t="str">
        <f t="shared" ca="1" si="185"/>
        <v>Zweite SpielsportartSkalawert[@[Skala-Wert]]</v>
      </c>
      <c r="QN43" s="98" t="str">
        <f t="shared" ca="1" si="186"/>
        <v/>
      </c>
      <c r="QO43" s="202" t="str">
        <f t="shared" ca="1" si="187"/>
        <v/>
      </c>
      <c r="QP43" s="202" t="str">
        <f t="shared" ca="1" si="188"/>
        <v/>
      </c>
      <c r="QQ43" s="202" t="str">
        <f t="shared" ca="1" si="189"/>
        <v>StdDisziplinen[MaxTextSt]</v>
      </c>
      <c r="QR43" s="202" t="str">
        <f t="shared" ca="1" si="190"/>
        <v/>
      </c>
      <c r="QS43" s="202" t="b">
        <f t="shared" ca="1" si="191"/>
        <v>0</v>
      </c>
      <c r="QT43" s="242" t="str">
        <f t="shared" ca="1" si="33"/>
        <v>Dritte Spielsportart</v>
      </c>
      <c r="QU43" s="242" t="str">
        <f ca="1">IF(QT43=$QT$11,MID(Stammdaten!$AX$27,2,LEN(Stammdaten!$AX$27)),IF(QX43=$A$2,TRIM(Stammdaten!$AX$25),""))</f>
        <v>nicht durchgeführt</v>
      </c>
      <c r="QV43" s="242" t="str">
        <f t="shared" ca="1" si="34"/>
        <v/>
      </c>
      <c r="QW43" s="202" t="str">
        <f t="shared" ca="1" si="192"/>
        <v>Dritte SpielsportartResultat[@Resultat]</v>
      </c>
      <c r="QX43" s="98" t="str">
        <f t="shared" ca="1" si="193"/>
        <v/>
      </c>
      <c r="QY43" s="202" t="str">
        <f t="shared" ca="1" si="35"/>
        <v/>
      </c>
      <c r="QZ43" s="202" t="str">
        <f t="shared" ca="1" si="194"/>
        <v>Dritte SpielsportartSkalawert[@[Skala-Wert]]</v>
      </c>
      <c r="RA43" s="98" t="str">
        <f t="shared" ca="1" si="224"/>
        <v/>
      </c>
      <c r="RB43" s="202" t="str">
        <f t="shared" ca="1" si="36"/>
        <v/>
      </c>
      <c r="RC43" s="202" t="str">
        <f t="shared" ca="1" si="196"/>
        <v/>
      </c>
      <c r="RD43" s="202" t="str">
        <f t="shared" ca="1" si="197"/>
        <v>StdDisziplinen[MaxTextSt]</v>
      </c>
      <c r="RE43" s="202" t="str">
        <f t="shared" ca="1" si="37"/>
        <v/>
      </c>
      <c r="RF43" s="244">
        <f t="shared" ca="1" si="38"/>
        <v>99</v>
      </c>
      <c r="RG43" s="244">
        <f t="shared" ca="1" si="39"/>
        <v>99</v>
      </c>
      <c r="RH43" s="244">
        <f t="shared" ca="1" si="40"/>
        <v>99</v>
      </c>
      <c r="RI43" s="244">
        <f t="shared" ca="1" si="41"/>
        <v>99</v>
      </c>
      <c r="RJ43" s="244">
        <f t="shared" ca="1" si="42"/>
        <v>99</v>
      </c>
      <c r="RK43" s="244">
        <f t="shared" ca="1" si="198"/>
        <v>99</v>
      </c>
      <c r="RL43" s="244">
        <f t="shared" ca="1" si="199"/>
        <v>99</v>
      </c>
      <c r="RM43" s="244">
        <f t="shared" ca="1" si="200"/>
        <v>99</v>
      </c>
      <c r="RN43" s="244">
        <f t="shared" ca="1" si="201"/>
        <v>99</v>
      </c>
      <c r="RO43" s="244">
        <f t="shared" ca="1" si="202"/>
        <v>99</v>
      </c>
      <c r="RP43" s="202" t="str">
        <f t="shared" ca="1" si="43"/>
        <v>Zu wenige Noten</v>
      </c>
      <c r="RQ43" s="202" t="str">
        <f t="shared" ca="1" si="203"/>
        <v>Zu wenige Noten</v>
      </c>
      <c r="RR43" s="202" t="str">
        <f t="shared" ca="1" si="203"/>
        <v>Zu wenige Noten</v>
      </c>
      <c r="RS43" s="202" t="str">
        <f t="shared" ca="1" si="204"/>
        <v>Zu wenige Noten</v>
      </c>
      <c r="RT43" s="202" t="str">
        <f t="shared" ca="1" si="204"/>
        <v>Zu wenige Noten</v>
      </c>
      <c r="RU43" s="202" t="str">
        <f t="shared" ca="1" si="205"/>
        <v>Zu wenige Noten</v>
      </c>
      <c r="RV43" s="202" t="str">
        <f t="shared" ca="1" si="206"/>
        <v>Zu wenige Noten</v>
      </c>
      <c r="RW43" s="31"/>
      <c r="RX43" s="56" t="str">
        <f t="shared" ca="1" si="44"/>
        <v>Zu wenige Noten</v>
      </c>
      <c r="RY43" s="31"/>
      <c r="RZ43" s="31" t="str">
        <f t="shared" ca="1" si="45"/>
        <v>Zu wenige Noten</v>
      </c>
      <c r="SA43" s="31" t="str">
        <f t="shared" ca="1" si="46"/>
        <v>Zu wenige Noten</v>
      </c>
      <c r="SB43" s="45" t="str">
        <f t="shared" ca="1" si="47"/>
        <v>Zu wenige Noten</v>
      </c>
      <c r="SC43" s="31" t="str">
        <f t="shared" ca="1" si="207"/>
        <v>Zu wenige Noten</v>
      </c>
      <c r="SD43" s="31" t="str">
        <f t="shared" ca="1" si="208"/>
        <v>Zu wenige Noten</v>
      </c>
      <c r="SE43" s="31" t="str">
        <f t="shared" ca="1" si="225"/>
        <v>Zu wenige Noten</v>
      </c>
      <c r="SF43" s="31" t="str">
        <f t="shared" ca="1" si="209"/>
        <v>Zu wenige Noten</v>
      </c>
      <c r="SG43" s="31" t="str">
        <f t="shared" ca="1" si="226"/>
        <v>Zu wenige Noten</v>
      </c>
      <c r="SH43" s="36">
        <f t="shared" ca="1" si="210"/>
        <v>0</v>
      </c>
      <c r="SI43" s="36">
        <f t="shared" ca="1" si="211"/>
        <v>0</v>
      </c>
      <c r="SJ43" s="36">
        <f t="shared" ca="1" si="212"/>
        <v>0</v>
      </c>
      <c r="SK43" s="31">
        <f t="shared" ca="1" si="213"/>
        <v>99</v>
      </c>
      <c r="SL43" s="31">
        <f t="shared" ca="1" si="214"/>
        <v>99</v>
      </c>
      <c r="SM43" s="36" t="str">
        <f t="shared" ca="1" si="215"/>
        <v>99.0</v>
      </c>
      <c r="SN43" s="31">
        <f t="shared" ca="1" si="216"/>
        <v>99</v>
      </c>
      <c r="SO43" s="36" t="str">
        <f ca="1">IF(NOT(SJ43),INDEX(StdFehler[StdFehler],4),IF(SI43=$SJ$13,$A$3,CONCATENATE(TEXT(SK43,"#.0"),", ",TEXT(SL43,"#.0"),", ",SM43,", ",TEXT(SN43,"#.0"))))</f>
        <v>Zu wenige Noten</v>
      </c>
      <c r="SP43" s="36" t="str">
        <f t="shared" ca="1" si="49"/>
        <v>Zu wenige Noten</v>
      </c>
      <c r="SQ43" s="36" t="str">
        <f t="shared" ca="1" si="49"/>
        <v>Zu wenige Noten</v>
      </c>
      <c r="SR43" s="36" t="str">
        <f t="shared" ca="1" si="49"/>
        <v>Zu wenige Noten</v>
      </c>
      <c r="SS43" s="36" t="str">
        <f t="shared" ca="1" si="49"/>
        <v>Zu wenige Noten</v>
      </c>
      <c r="ST43" s="36" t="str">
        <f t="shared" ca="1" si="217"/>
        <v>Zu wenige Noten</v>
      </c>
      <c r="SU43" s="36"/>
      <c r="SV43" s="214" t="str">
        <f t="shared" si="218"/>
        <v>D</v>
      </c>
      <c r="SW43" s="36"/>
      <c r="SX43" s="214" t="str">
        <f t="shared" si="219"/>
        <v>D</v>
      </c>
      <c r="SY43" s="36"/>
      <c r="SZ43" s="214" t="str">
        <f t="shared" si="220"/>
        <v>D</v>
      </c>
      <c r="TA43" s="36"/>
      <c r="TB43" s="214" t="str">
        <f t="shared" si="221"/>
        <v>D</v>
      </c>
      <c r="TC43" s="31"/>
      <c r="TD43" s="36" t="str">
        <f t="shared" ca="1" si="222"/>
        <v>Zu wenige Noten</v>
      </c>
      <c r="TE43" s="31"/>
      <c r="TF43" s="193" t="str">
        <f ca="1">IF(NOT(SJ43),INDEX(StdFehler[StdFehler],4),IF(SI43=$TF$4,$A$3,ROUND(AVERAGE(RZ43:SC43)/$TF$5,0)*$TF$5))</f>
        <v>Zu wenige Noten</v>
      </c>
      <c r="TH43" s="595" t="str">
        <f>IF(OR($TH$18=Stammdaten!$AX$20,$TH$18=""),Stammdaten!$AX$20,$TH$18)</f>
        <v>Disziplin</v>
      </c>
      <c r="TI43" s="33"/>
      <c r="TJ43" s="33" t="str">
        <f>IF(OR(Geschlecht[[#This Row],[Geschlecht (Skala)]]="",TH43="",TH43=Stammdaten!$AX$20),"",REPLACE(INDEX(StdDisziplinen[TabÜberschriftResultat],TH$3),FIND("XX",INDEX(StdDisziplinen[TabÜberschriftResultat],TH$3),1),2,Geschlecht[[#This Row],[Geschlecht (Skala)]]))</f>
        <v/>
      </c>
      <c r="TK43" s="596"/>
      <c r="TM43" s="37"/>
      <c r="TN43" s="40"/>
      <c r="TO43" s="587">
        <f>IF(TO$16,IF(TP$16=0.5,MROUND(SchwimmenResultat[[#This Row],[Resultat]],TP$16),ROUND(SchwimmenResultat[[#This Row],[Resultat]],TP$16)),ROUNDDOWN(SchwimmenResultat[[#This Row],[Resultat]],TP$16))</f>
        <v>0</v>
      </c>
      <c r="TP43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3" s="153" t="str">
        <f ca="1">IF(TP43="","",IF(OR(SchwimmenResultat[[#This Row],[Resultat]]=Stammdaten!$AX$22,SchwimmenResultat[[#This Row],[Resultat]]=Stammdaten!$AX$19),Stammdaten!$AX$19,IF(ISNA(INDEX(INDIRECT(TP43),MATCH(SchwimmenGerundet[[#This Row],[Rundung]],INDIRECT(TP43),TP$18))),IF(TP$18=-1,LARGE(INDIRECT(TP43),1),SMALL(INDIRECT(TP43),1)),INDEX(INDIRECT(TP43),MATCH(SchwimmenGerundet[[#This Row],[Rundung]],INDIRECT(TP43),TP$18)))))</f>
        <v/>
      </c>
      <c r="TR43" s="33" t="str">
        <f>IF(OR(TP43="",SchwimmenResultat[[#This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3" s="33"/>
      <c r="TT43" s="36" t="str">
        <f ca="1">IF(OR(TR43="",SchwimmenSkalawert[[#This Row],[Skala-Wert]]=Stammdaten!$AX$19),"",INDEX(INDIRECT(TR43),MATCH(SchwimmenSkalawert[[#This Row],[Skala-Wert]],INDIRECT(TP43),0)))</f>
        <v/>
      </c>
      <c r="TU43" s="36"/>
      <c r="TV43" s="190" t="str">
        <f>IF(ZwölfMinLaufHalleResultat[[#This Row],[Resultat]]=0,"",ZwölfMinLaufHalleResultat[[#This Row],[Resultat]])</f>
        <v/>
      </c>
      <c r="TW43" s="190"/>
      <c r="TX43" s="31" t="str">
        <f ca="1">ZwölfMinLaufHalleSkalawert[[#This Row],[Skala-Wert]]</f>
        <v/>
      </c>
      <c r="TZ43" s="31" t="str">
        <f ca="1">ZwölfMinLaufHalleNote[[#This Row],[Note]]</f>
        <v/>
      </c>
      <c r="UA43" s="31"/>
      <c r="UB43" s="190" t="str">
        <f>IF(ZwölfMinLaufimFreienResultat[[#This Row],[Resultat]]=0,"",ZwölfMinLaufimFreienResultat[[#This Row],[Resultat]])</f>
        <v/>
      </c>
      <c r="UC43" s="190"/>
      <c r="UD43" s="192" t="str">
        <f ca="1">ZwölfMinLaufimFreienSkalawert[[#This Row],[Skala-Wert]]</f>
        <v/>
      </c>
      <c r="UF43" s="31" t="str">
        <f ca="1">ZwölfMinLaufimFreienNote[[#This Row],[Note]]</f>
        <v/>
      </c>
      <c r="UG43" s="31"/>
      <c r="UH43" s="597"/>
      <c r="UI43" s="190"/>
      <c r="UJ43" s="587">
        <f>IF(UJ$16,IF(UK$16=0.5,MROUND(BeweglichkeitResultat[[#This Row],[Resultat]],UK$16),ROUND(BeweglichkeitResultat[[#This Row],[Resultat]],UK$16)),ROUNDDOWN(BeweglichkeitResultat[[#This Row],[Resultat]],UK$16))</f>
        <v>0</v>
      </c>
      <c r="UK43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3" s="192" t="str">
        <f ca="1">IF(UK43="","",IF(OR(BeweglichkeitResultat[[#This Row],[Resultat]]=Stammdaten!$AX$22,BeweglichkeitResultat[[#This Row],[Resultat]]=Stammdaten!$AX$19),Stammdaten!$AX$19,IF(ISNA(INDEX(INDIRECT(UK43),MATCH(BeweglichkeitGerundet[[#This Row],[Rundung]],INDIRECT(UK43),UK$18))),IF(UK$18=-1,LARGE(INDIRECT(UK43),1),SMALL(INDIRECT(UK43),1)),INDEX(INDIRECT(UK43),MATCH(BeweglichkeitGerundet[[#This Row],[Rundung]],INDIRECT(UK43),UK$18)))))</f>
        <v/>
      </c>
      <c r="UN43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3" s="36" t="str">
        <f ca="1">IF(OR(UK43="",BeweglichkeitSkalawert[[#This Row],[Skala-Wert]]=Stammdaten!$AX$19),"",INDEX(INDIRECT(UN43),MATCH(BeweglichkeitSkalawert[[#This Row],[Skala-Wert]],INDIRECT(UK43),0)))</f>
        <v/>
      </c>
      <c r="UP43" s="31"/>
      <c r="UQ43" s="597"/>
      <c r="UR43" s="190"/>
      <c r="US43" s="587">
        <f>IF(US$16,IF(UT$16=0.5,MROUND(RumpfkraftResultat[[#This Row],[Resultat]],UT$16),ROUND(RumpfkraftResultat[[#This Row],[Resultat]],UT$16)),ROUNDDOWN(RumpfkraftResultat[[#This Row],[Resultat]],UT$16))</f>
        <v>0</v>
      </c>
      <c r="UT43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3" s="192" t="str">
        <f ca="1">IF(UT43="","",IF(OR(RumpfkraftResultat[[#This Row],[Resultat]]=Stammdaten!$AX$22,RumpfkraftResultat[[#This Row],[Resultat]]=Stammdaten!$AX$19),Stammdaten!$AX$19,IF(ISNA(INDEX(INDIRECT(UT43),MATCH(RumpfkraftGerundet[[#This Row],[Rundung]],INDIRECT(UT43),UT$18))),IF(UT$18=-1,LARGE(INDIRECT(UT43),1),SMALL(INDIRECT(UT43),1)),INDEX(INDIRECT(UT43),MATCH(RumpfkraftGerundet[[#This Row],[Rundung]],INDIRECT(UT43),UT$18)))))</f>
        <v/>
      </c>
      <c r="UW43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3" s="36" t="str">
        <f ca="1">IF(OR(UT43="",RumpfkraftSkalawert[[#This Row],[Skala-Wert]]=Stammdaten!$AX$19),"",INDEX(INDIRECT(UW43),MATCH(RumpfkraftSkalawert[[#This Row],[Skala-Wert]],INDIRECT(UT43),0)))</f>
        <v/>
      </c>
      <c r="UY43" s="31"/>
      <c r="UZ43" s="190" t="str">
        <f>IF(SechzigmLaufResultat[[#This Row],[Resultat]]=0,"",SechzigmLaufResultat[[#This Row],[Resultat]])</f>
        <v/>
      </c>
      <c r="VA43" s="190"/>
      <c r="VB43" s="45" t="str">
        <f ca="1">SechzigmLaufSkalawert[[#This Row],[Skala-Wert]]</f>
        <v/>
      </c>
      <c r="VD43" s="31" t="str">
        <f ca="1">SechzigmLaufNote[[#This Row],[Note]]</f>
        <v/>
      </c>
      <c r="VE43" s="31"/>
      <c r="VF43" s="190" t="str">
        <f>IF(AchtzigmLaufResultat[[#This Row],[Resultat]]=0,"",AchtzigmLaufResultat[[#This Row],[Resultat]])</f>
        <v/>
      </c>
      <c r="VG43" s="190"/>
      <c r="VH43" s="45" t="str">
        <f ca="1">AchtzigmLaufSkalawert[[#This Row],[Skala-Wert]]</f>
        <v/>
      </c>
      <c r="VJ43" s="31" t="str">
        <f ca="1">AchtzigmLaufNote[[#This Row],[Note]]</f>
        <v/>
      </c>
      <c r="VK43" s="31"/>
      <c r="VL43" s="37"/>
      <c r="VM43" s="190"/>
      <c r="VN43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3" s="191" t="str">
        <f>IF(OR(Geschlecht[[#This Row],[Geschlecht (Skala)]]="",VL$16=""),"",MID(Geschlecht[[#This Row],[Geschlecht (Skala)]],1,1)&amp;MID(VL$16,1,1))</f>
        <v/>
      </c>
      <c r="VP43" s="190" t="str">
        <f>IF(OR(VO43="",KonditionsparcoursResultat[[#This Row],[Resultat]]=""),"",REPLACE(INDEX(StdDisziplinen[TabÜberschriftResultat],VL$3),FIND("X",INDEX(StdDisziplinen[TabÜberschriftResultat],VL$3),1),2,VO43))</f>
        <v/>
      </c>
      <c r="VQ43" s="192" t="str">
        <f ca="1">IF(VP43="","",IF(OR(KonditionsparcoursResultat[[#This Row],[Resultat]]=Stammdaten!$AX$22,KonditionsparcoursResultat[[#This Row],[Resultat]]=Stammdaten!$AX$19),Stammdaten!$AX$19,IF(ISNA(INDEX(INDIRECT(VP43),MATCH(KonditionsparcoursGerundet[[#This Row],[Rundung]],INDIRECT(VP43),VP$18))),IF(VP$18=-1,LARGE(INDIRECT(VP43),1),SMALL(INDIRECT(VP43),1)),INDEX(INDIRECT(VP43),MATCH(KonditionsparcoursGerundet[[#This Row],[Rundung]],INDIRECT(VP43),VP$18)))))</f>
        <v/>
      </c>
      <c r="VS43" s="18" t="str">
        <f ca="1">IF(KonditionsparcoursSkalawert[[#This Row],[Skala-Wert]]="","",REPLACE(INDEX(StdDisziplinen[TabÜberschriftNote],VL$3),FIND("X",INDEX(StdDisziplinen[TabÜberschriftNote],VL$3),1),2,VO43))</f>
        <v/>
      </c>
      <c r="VT43" s="31" t="str">
        <f ca="1">IF(OR(VS43="",KonditionsparcoursSkalawert[[#This Row],[Skala-Wert]]=Stammdaten!$AX$19),"",INDEX(INDIRECT(VS43),MATCH(KonditionsparcoursSkalawert[[#This Row],[Skala-Wert]],INDIRECT(VP43),0)))</f>
        <v/>
      </c>
      <c r="VU43" s="22"/>
    </row>
    <row r="44" spans="1:593" x14ac:dyDescent="0.3">
      <c r="A44" s="30">
        <v>26</v>
      </c>
      <c r="B44" s="589"/>
      <c r="C44" s="589"/>
      <c r="E44" s="591"/>
      <c r="G44" s="37"/>
      <c r="H44" s="190"/>
      <c r="I44" s="154">
        <f>IF(I$16,IF(J$16=0.5,MROUND(SechzigmLaufResultat[[#This Row],[Resultat]],J$16),ROUND(SechzigmLaufResultat[[#This Row],[Resultat]],J$16)),ROUNDDOWN(SechzigmLaufResultat[[#This Row],[Resultat]],J$16))</f>
        <v>0</v>
      </c>
      <c r="J44" s="191" t="str">
        <f>IF(OR(Geschlecht[[#This Row],[Geschlecht (Skala)]]="",G$16=""),"",MID(Geschlecht[[#This Row],[Geschlecht (Skala)]],1,1)&amp;MID(G$16,1,1))</f>
        <v/>
      </c>
      <c r="K44" s="190" t="str">
        <f>IF(OR(J44="",SechzigmLaufResultat[[#This Row],[Resultat]]=""),"",REPLACE(INDEX(StdDisziplinen[TabÜberschriftResultat],G$3),FIND("X",INDEX(StdDisziplinen[TabÜberschriftResultat],G$3),1),2,J44))</f>
        <v/>
      </c>
      <c r="L44" s="45" t="str">
        <f ca="1">IF(K44="","",IF(OR(SechzigmLaufResultat[[#This Row],[Resultat]]=Stammdaten!$AX$22,SechzigmLaufResultat[[#This Row],[Resultat]]=Stammdaten!$AX$19),Stammdaten!$AX$19,IF(ISNA(INDEX(INDIRECT(K44),MATCH(SechzigmLaufGerundet[[#This Row],[Rundung]],INDIRECT(K44),K$18))),IF(K$18=-1,LARGE(INDIRECT(K44),1),SMALL(INDIRECT(K44),1)),INDEX(INDIRECT(K44),MATCH(SechzigmLaufGerundet[[#This Row],[Rundung]],INDIRECT(K44),K$18)))))</f>
        <v/>
      </c>
      <c r="N44" s="18" t="str">
        <f ca="1">IF(SechzigmLaufSkalawert[[#This Row],[Skala-Wert]]="","",REPLACE(INDEX(StdDisziplinen[TabÜberschriftNote],G$3),FIND("X",INDEX(StdDisziplinen[TabÜberschriftNote],G$3),1),2,J44))</f>
        <v/>
      </c>
      <c r="O44" s="31" t="str">
        <f ca="1">IF(OR(N44="",SechzigmLaufSkalawert[[#This Row],[Skala-Wert]]=Stammdaten!$AX$19),"",INDEX(INDIRECT(N44),MATCH(SechzigmLaufSkalawert[[#This Row],[Skala-Wert]],INDIRECT(K44),0)))</f>
        <v/>
      </c>
      <c r="P44" s="31"/>
      <c r="Q44" s="37"/>
      <c r="R44" s="190"/>
      <c r="S44" s="154">
        <f>IF(S$16,IF(T$16=0.5,MROUND(AchtzigmLaufResultat[[#This Row],[Resultat]],T$16),ROUND(AchtzigmLaufResultat[[#This Row],[Resultat]],T$16)),ROUNDDOWN(AchtzigmLaufResultat[[#This Row],[Resultat]],T$16))</f>
        <v>0</v>
      </c>
      <c r="T44" s="191" t="str">
        <f>IF(OR(Geschlecht[[#This Row],[Geschlecht (Skala)]]="",Q$16=""),"",MID(Geschlecht[[#This Row],[Geschlecht (Skala)]],1,1)&amp;MID(Q$16,1,1))</f>
        <v/>
      </c>
      <c r="U44" s="190" t="str">
        <f>IF(OR(T44="",AchtzigmLaufResultat[[#This Row],[Resultat]]=""),"",REPLACE(INDEX(StdDisziplinen[TabÜberschriftResultat],Q$3),FIND("X",INDEX(StdDisziplinen[TabÜberschriftResultat],Q$3),1),2,T44))</f>
        <v/>
      </c>
      <c r="V44" s="45" t="str">
        <f ca="1">IF(U44="","",IF(OR(AchtzigmLaufResultat[[#This Row],[Resultat]]=Stammdaten!$AX$22,AchtzigmLaufResultat[[#This Row],[Resultat]]=Stammdaten!$AX$19),Stammdaten!$AX$19,IF(ISNA(INDEX(INDIRECT(U44),MATCH(AchtzigmLaufGerundet[[#This Row],[Rundung]],INDIRECT(U44),U$18))),IF(U$18=-1,LARGE(INDIRECT(U44),1),SMALL(INDIRECT(U44),1)),INDEX(INDIRECT(U44),MATCH(AchtzigmLaufGerundet[[#This Row],[Rundung]],INDIRECT(U44),U$18)))))</f>
        <v/>
      </c>
      <c r="X44" s="18" t="str">
        <f ca="1">IF(AchtzigmLaufSkalawert[[#This Row],[Skala-Wert]]="","",REPLACE(INDEX(StdDisziplinen[TabÜberschriftNote],Q$3),FIND("X",INDEX(StdDisziplinen[TabÜberschriftNote],Q$3),1),2,T44))</f>
        <v/>
      </c>
      <c r="Y44" s="31" t="str">
        <f ca="1">IF(OR(X44="",AchtzigmLaufSkalawert[[#This Row],[Skala-Wert]]=Stammdaten!$AX$19),"",INDEX(INDIRECT(X44),MATCH(AchtzigmLaufSkalawert[[#This Row],[Skala-Wert]],INDIRECT(U44),0)))</f>
        <v/>
      </c>
      <c r="Z44" s="31"/>
      <c r="AA44" s="37"/>
      <c r="AB44" s="190"/>
      <c r="AC44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4" s="191" t="str">
        <f>IF(OR(Geschlecht[[#This Row],[Geschlecht (Skala)]]="",AA$16=""),"",MID(Geschlecht[[#This Row],[Geschlecht (Skala)]],1,1)&amp;MID(AA$16,1,1))</f>
        <v/>
      </c>
      <c r="AE44" s="190" t="str">
        <f>IF(OR(AD44="",ZwölfMinLaufHalleResultat[[#This Row],[Resultat]]=""),"",REPLACE(INDEX(StdDisziplinen[TabÜberschriftResultat],AA$3),FIND("X",INDEX(StdDisziplinen[TabÜberschriftResultat],AA$3),1),2,AD44))</f>
        <v/>
      </c>
      <c r="AF44" s="31" t="str">
        <f ca="1">IF(AE44="","",IF(OR(ZwölfMinLaufHalleResultat[[#This Row],[Resultat]]=Stammdaten!$AX$22,ZwölfMinLaufHalleResultat[[#This Row],[Resultat]]=Stammdaten!$AX$19),Stammdaten!$AX$19,IF(ISNA(INDEX(INDIRECT(AE44),MATCH(ZwölfMinLaufHalleGerundet[[#This Row],[Rundung]],INDIRECT(AE44),AE$18))),IF(AE$18=-1,LARGE(INDIRECT(AE44),1),SMALL(INDIRECT(AE44),1)),INDEX(INDIRECT(AE44),MATCH(ZwölfMinLaufHalleGerundet[[#This Row],[Rundung]],INDIRECT(AE44),AE$18)))))</f>
        <v/>
      </c>
      <c r="AH44" s="18" t="str">
        <f ca="1">IF(ZwölfMinLaufHalleSkalawert[[#This Row],[Skala-Wert]]="","",REPLACE(INDEX(StdDisziplinen[TabÜberschriftNote],AA$3),FIND("X",INDEX(StdDisziplinen[TabÜberschriftNote],AA$3),1),2,AD44))</f>
        <v/>
      </c>
      <c r="AI44" s="31" t="str">
        <f ca="1">IF(OR(AH44="",ZwölfMinLaufHalleSkalawert[[#This Row],[Skala-Wert]]=Stammdaten!$AX$19),"",INDEX(INDIRECT(AH44),MATCH(ZwölfMinLaufHalleSkalawert[[#This Row],[Skala-Wert]],INDIRECT(AE44),0)))</f>
        <v/>
      </c>
      <c r="AJ44" s="31"/>
      <c r="AK44" s="597"/>
      <c r="AL44" s="190"/>
      <c r="AM44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4" s="191" t="str">
        <f>IF(OR(Geschlecht[[#This Row],[Geschlecht (Skala)]]="",AK$16=""),"",MID(Geschlecht[[#This Row],[Geschlecht (Skala)]],1,1)&amp;MID(AK$16,1,1))</f>
        <v/>
      </c>
      <c r="AO44" s="190" t="str">
        <f>IF(OR(AN44="",ZwölfMinLaufimFreienResultat[[#This Row],[Resultat]]=""),"",REPLACE(INDEX(StdDisziplinen[TabÜberschriftResultat],AK$3),FIND("X",INDEX(StdDisziplinen[TabÜberschriftResultat],AK$3),1),2,AN44))</f>
        <v/>
      </c>
      <c r="AP44" s="192" t="str">
        <f ca="1">IF(AO44="","",IF(OR(ZwölfMinLaufimFreienResultat[[#This Row],[Resultat]]=Stammdaten!$AX$22,ZwölfMinLaufimFreienResultat[[#This Row],[Resultat]]=Stammdaten!$AX$19),Stammdaten!$AX$19,IF(ISNA(INDEX(INDIRECT(AO44),MATCH(ZwölfMinLaufimFreienGerundet[[#This Row],[Rundung]],INDIRECT(AO44),AO$18))),IF(AO$18=-1,LARGE(INDIRECT(AO44),1),SMALL(INDIRECT(AO44),1)),INDEX(INDIRECT(AO44),MATCH(ZwölfMinLaufimFreienGerundet[[#This Row],[Rundung]],INDIRECT(AO44),AO$18)))))</f>
        <v/>
      </c>
      <c r="AR44" s="18" t="str">
        <f ca="1">IF(ZwölfMinLaufimFreienSkalawert[[#This Row],[Skala-Wert]]="","",REPLACE(INDEX(StdDisziplinen[TabÜberschriftNote],AK$3),FIND("X",INDEX(StdDisziplinen[TabÜberschriftNote],AK$3),1),2,AN44))</f>
        <v/>
      </c>
      <c r="AS44" s="31" t="str">
        <f ca="1">IF(OR(AR44="",ZwölfMinLaufimFreienSkalawert[[#This Row],[Skala-Wert]]=Stammdaten!$AX$19),"",INDEX(INDIRECT(AR44),MATCH(ZwölfMinLaufimFreienSkalawert[[#This Row],[Skala-Wert]],INDIRECT(AO44),0)))</f>
        <v/>
      </c>
      <c r="AT44" s="31"/>
      <c r="AU44" s="597"/>
      <c r="AV44" s="190"/>
      <c r="AW44" s="587">
        <f>IF(AW$16,IF(AX$16=0.5,MROUND(HochsprungResultat[[#This Row],[Resultat]],AX$16),ROUND(HochsprungResultat[[#This Row],[Resultat]],AX$16)),ROUNDDOWN(HochsprungResultat[[#This Row],[Resultat]],AX$16))</f>
        <v>0</v>
      </c>
      <c r="AX44" s="191" t="str">
        <f>IF(OR(Geschlecht[[#This Row],[Geschlecht (Skala)]]="",AU$16=""),"",MID(Geschlecht[[#This Row],[Geschlecht (Skala)]],1,1)&amp;MID(AU$16,1,1))</f>
        <v/>
      </c>
      <c r="AY44" s="190" t="str">
        <f>IF(OR(AX44="",HochsprungResultat[[#This Row],[Resultat]]=""),"",REPLACE(INDEX(StdDisziplinen[TabÜberschriftResultat],AU$3),FIND("X",INDEX(StdDisziplinen[TabÜberschriftResultat],AU$3),1),2,AX44))</f>
        <v/>
      </c>
      <c r="AZ44" s="192" t="str">
        <f ca="1">IF(AY44="","",IF(OR(HochsprungResultat[[#This Row],[Resultat]]=Stammdaten!$AX$22,HochsprungResultat[[#This Row],[Resultat]]=Stammdaten!$AX$19),Stammdaten!$AX$19,IF(ISNA(INDEX(INDIRECT(AY44),MATCH(HochsprungGerundet[[#This Row],[Rundung]],INDIRECT(AY44),AY$18))),IF(AY$18=-1,LARGE(INDIRECT(AY44),1),SMALL(INDIRECT(AY44),1)),INDEX(INDIRECT(AY44),MATCH(HochsprungGerundet[[#This Row],[Rundung]],INDIRECT(AY44),AY$18)))))</f>
        <v/>
      </c>
      <c r="BB44" s="18" t="str">
        <f ca="1">IF(HochsprungSkalawert[[#This Row],[Skala-Wert]]="","",REPLACE(INDEX(StdDisziplinen[TabÜberschriftNote],AU$3),FIND("X",INDEX(StdDisziplinen[TabÜberschriftNote],AU$3),1),2,AX44))</f>
        <v/>
      </c>
      <c r="BC44" s="31" t="str">
        <f ca="1">IF(OR(BB44="",HochsprungSkalawert[[#This Row],[Skala-Wert]]=Stammdaten!$AX$19),"",INDEX(INDIRECT(BB44),MATCH(HochsprungSkalawert[[#This Row],[Skala-Wert]],INDIRECT(AY44),0)))</f>
        <v/>
      </c>
      <c r="BD44" s="31"/>
      <c r="BE44" s="597"/>
      <c r="BF44" s="190"/>
      <c r="BG44" s="587">
        <f>IF(BG$16,IF(BH$16=0.5,MROUND(WeitsprungResultat[[#This Row],[Resultat]],BH$16),ROUND(WeitsprungResultat[[#This Row],[Resultat]],BH$16)),ROUNDDOWN(WeitsprungResultat[[#This Row],[Resultat]],BH$16))</f>
        <v>0</v>
      </c>
      <c r="BH44" s="191" t="str">
        <f>IF(OR(Geschlecht[[#This Row],[Geschlecht (Skala)]]="",BE$16=""),"",MID(Geschlecht[[#This Row],[Geschlecht (Skala)]],1,1)&amp;MID(BE$16,1,1))</f>
        <v/>
      </c>
      <c r="BI44" s="190" t="str">
        <f>IF(OR(BH44="",WeitsprungResultat[[#This Row],[Resultat]]=""),"",REPLACE(INDEX(StdDisziplinen[TabÜberschriftResultat],BE$3),FIND("X",INDEX(StdDisziplinen[TabÜberschriftResultat],BE$3),1),2,BH44))</f>
        <v/>
      </c>
      <c r="BJ44" s="192" t="str">
        <f ca="1">IF(BI44="","",IF(OR(WeitsprungResultat[[#This Row],[Resultat]]=Stammdaten!$AX$22,WeitsprungResultat[[#This Row],[Resultat]]=Stammdaten!$AX$19),Stammdaten!$AX$19,IF(ISNA(INDEX(INDIRECT(BI44),MATCH(WeitsprungGerundet[[#This Row],[Rundung]],INDIRECT(BI44),BI$18))),IF(BI$18=-1,LARGE(INDIRECT(BI44),1),SMALL(INDIRECT(BI44),1)),INDEX(INDIRECT(BI44),MATCH(WeitsprungGerundet[[#This Row],[Rundung]],INDIRECT(BI44),BI$18)))))</f>
        <v/>
      </c>
      <c r="BL44" s="18" t="str">
        <f ca="1">IF(WeitsprungSkalawert[[#This Row],[Skala-Wert]]="","",REPLACE(INDEX(StdDisziplinen[TabÜberschriftNote],BE$3),FIND("X",INDEX(StdDisziplinen[TabÜberschriftNote],BE$3),1),2,BH44))</f>
        <v/>
      </c>
      <c r="BM44" s="31" t="str">
        <f ca="1">IF(OR(BL44="",WeitsprungSkalawert[[#This Row],[Skala-Wert]]=Stammdaten!$AX$19),"",INDEX(INDIRECT(BL44),MATCH(WeitsprungSkalawert[[#This Row],[Skala-Wert]],INDIRECT(BI44),0)))</f>
        <v/>
      </c>
      <c r="BN44" s="31"/>
      <c r="BO44" s="37"/>
      <c r="BP44" s="190"/>
      <c r="BQ44" s="154">
        <f>IF(BQ$16,IF(BR$16=0.5,MROUND(BallwurfResultat[[#This Row],[Resultat]],BR$16),ROUND(BallwurfResultat[[#This Row],[Resultat]],BR$16)),ROUNDDOWN(BallwurfResultat[[#This Row],[Resultat]],BR$16))</f>
        <v>0</v>
      </c>
      <c r="BR44" s="191" t="str">
        <f>IF(OR(Geschlecht[[#This Row],[Geschlecht (Skala)]]="",BO$16=""),"",MID(Geschlecht[[#This Row],[Geschlecht (Skala)]],1,1)&amp;MID(BO$16,1,1))</f>
        <v/>
      </c>
      <c r="BS44" s="190" t="str">
        <f>IF(OR(BR44="",BallwurfResultat[[#This Row],[Resultat]]=""),"",REPLACE(INDEX(StdDisziplinen[TabÜberschriftResultat],BO$3),FIND("X",INDEX(StdDisziplinen[TabÜberschriftResultat],BO$3),1),2,BR44))</f>
        <v/>
      </c>
      <c r="BT44" s="45" t="str">
        <f ca="1">IF(BS44="","",IF(OR(BallwurfResultat[[#This Row],[Resultat]]=Stammdaten!$AX$22,BallwurfResultat[[#This Row],[Resultat]]=Stammdaten!$AX$19),Stammdaten!$AX$19,IF(ISNA(INDEX(INDIRECT(BS44),MATCH(BallwurfGerundet[[#This Row],[Rundung]],INDIRECT(BS44),BS$18))),IF(BS$18=-1,LARGE(INDIRECT(BS44),1),SMALL(INDIRECT(BS44),1)),INDEX(INDIRECT(BS44),MATCH(BallwurfGerundet[[#This Row],[Rundung]],INDIRECT(BS44),BS$18)))))</f>
        <v/>
      </c>
      <c r="BV44" s="18" t="str">
        <f ca="1">IF(BallwurfSkalawert[[#This Row],[Skala-Wert]]="","",REPLACE(INDEX(StdDisziplinen[TabÜberschriftNote],BO$3),FIND("X",INDEX(StdDisziplinen[TabÜberschriftNote],BO$3),1),2,BR44))</f>
        <v/>
      </c>
      <c r="BW44" s="31" t="str">
        <f ca="1">IF(OR(BV44="",BallwurfSkalawert[[#This Row],[Skala-Wert]]=Stammdaten!$AX$19),"",INDEX(INDIRECT(BV44),MATCH(BallwurfSkalawert[[#This Row],[Skala-Wert]],INDIRECT(BS44),0)))</f>
        <v/>
      </c>
      <c r="BX44" s="31"/>
      <c r="BY44" s="598"/>
      <c r="BZ44" s="190"/>
      <c r="CA44" s="154">
        <f>IF(CA$16,IF(CB$16=0.5,MROUND(KugelstossenResultat[[#This Row],[Resultat]],CB$16),ROUND(KugelstossenResultat[[#This Row],[Resultat]],CB$16)),ROUNDDOWN(KugelstossenResultat[[#This Row],[Resultat]],CB$16))</f>
        <v>0</v>
      </c>
      <c r="CB44" s="191" t="str">
        <f>IF(OR(Geschlecht[[#This Row],[Geschlecht (Skala)]]="",BY$16=""),"",MID(Geschlecht[[#This Row],[Geschlecht (Skala)]],1,1)&amp;MID(BY$16,1,1))</f>
        <v/>
      </c>
      <c r="CC44" s="190" t="str">
        <f>IF(OR(CB44="",KugelstossenResultat[[#This Row],[Resultat]]=""),"",REPLACE(INDEX(StdDisziplinen[TabÜberschriftResultat],BY$3),FIND("X",INDEX(StdDisziplinen[TabÜberschriftResultat],BY$3),1),2,CB44))</f>
        <v/>
      </c>
      <c r="CD44" s="45" t="str">
        <f ca="1">IF(CC44="","",IF(OR(KugelstossenResultat[[#This Row],[Resultat]]=Stammdaten!$AX$22,KugelstossenResultat[[#This Row],[Resultat]]=Stammdaten!$AX$19),Stammdaten!$AX$19,IF(ISNA(INDEX(INDIRECT(CC44),MATCH(KugelstossenGerundet[[#This Row],[Rundung]],INDIRECT(CC44),CC$18))),IF(CC$18=-1,LARGE(INDIRECT(CC44),1),SMALL(INDIRECT(CC44),1)),INDEX(INDIRECT(CC44),MATCH(KugelstossenGerundet[[#This Row],[Rundung]],INDIRECT(CC44),CC$18)))))</f>
        <v/>
      </c>
      <c r="CF44" s="18" t="str">
        <f ca="1">IF(KugelstossenSkalawert[[#This Row],[Skala-Wert]]="","",REPLACE(INDEX(StdDisziplinen[TabÜberschriftNote],BY$3),FIND("X",INDEX(StdDisziplinen[TabÜberschriftNote],BY$3),1),2,CB44))</f>
        <v/>
      </c>
      <c r="CG44" s="31" t="str">
        <f ca="1">IF(OR(CF44="",KugelstossenSkalawert[[#This Row],[Skala-Wert]]=Stammdaten!$AX$19),"",INDEX(INDIRECT(CF44),MATCH(KugelstossenSkalawert[[#This Row],[Skala-Wert]],INDIRECT(CC44),0)))</f>
        <v/>
      </c>
      <c r="CH44" s="31"/>
      <c r="CI44" s="37"/>
      <c r="CJ44" s="190"/>
      <c r="CK44" s="154">
        <f>IF(CK$16,IF(CL$16=0.5,MROUND(SpeerwurfResultat[[#This Row],[Resultat]],CL$16),ROUND(SpeerwurfResultat[[#This Row],[Resultat]],CL$16)),ROUNDDOWN(SpeerwurfResultat[[#This Row],[Resultat]],CL$16))</f>
        <v>0</v>
      </c>
      <c r="CL44" s="191" t="str">
        <f>IF(OR(Geschlecht[[#This Row],[Geschlecht (Skala)]]="",CI$16=""),"",MID(Geschlecht[[#This Row],[Geschlecht (Skala)]],1,1)&amp;MID(CI$16,1,1))</f>
        <v/>
      </c>
      <c r="CM44" s="190" t="str">
        <f>IF(OR(CL44="",SpeerwurfResultat[[#This Row],[Resultat]]=""),"",REPLACE(INDEX(StdDisziplinen[TabÜberschriftResultat],CI$3),FIND("X",INDEX(StdDisziplinen[TabÜberschriftResultat],CI$3),1),2,CL44))</f>
        <v/>
      </c>
      <c r="CN44" s="45" t="str">
        <f ca="1">IF(CM44="","",IF(OR(SpeerwurfResultat[[#This Row],[Resultat]]=Stammdaten!$AX$22,SpeerwurfResultat[[#This Row],[Resultat]]=Stammdaten!$AX$19),Stammdaten!$AX$19,IF(ISNA(INDEX(INDIRECT(CM44),MATCH(SpeerwurfGerundet[[#This Row],[Rundung]],INDIRECT(CM44),CM$18))),IF(CM$18=-1,LARGE(INDIRECT(CM44),1),SMALL(INDIRECT(CM44),1)),INDEX(INDIRECT(CM44),MATCH(SpeerwurfGerundet[[#This Row],[Rundung]],INDIRECT(CM44),CM$18)))))</f>
        <v/>
      </c>
      <c r="CP44" s="18" t="str">
        <f ca="1">IF(SpeerwurfSkalawert[[#This Row],[Skala-Wert]]="","",REPLACE(INDEX(StdDisziplinen[TabÜberschriftNote],CI$3),FIND("X",INDEX(StdDisziplinen[TabÜberschriftNote],CI$3),1),2,CL44))</f>
        <v/>
      </c>
      <c r="CQ44" s="31" t="str">
        <f ca="1">IF(OR(CP44="",SpeerwurfSkalawert[[#This Row],[Skala-Wert]]=Stammdaten!$AX$19),"",INDEX(INDIRECT(CP44),MATCH(SpeerwurfSkalawert[[#This Row],[Skala-Wert]],INDIRECT(CM44),0)))</f>
        <v/>
      </c>
      <c r="CR44" s="31"/>
      <c r="CS44" s="31" t="str">
        <f t="shared" ca="1" si="50"/>
        <v/>
      </c>
      <c r="CT44" s="31" t="str">
        <f t="shared" ca="1" si="50"/>
        <v/>
      </c>
      <c r="CU44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Row],[Skala-Wert]])&gt;0,MAX(CS44:CT44),99))</f>
        <v>Keine Note</v>
      </c>
      <c r="CV44" s="202" t="str">
        <f t="shared" ca="1" si="51"/>
        <v/>
      </c>
      <c r="CW44" s="202" t="str">
        <f ca="1">IF(CV44=$A$2,CS$10&amp;Stammdaten!$AX$25,IF(CU44=INDEX(StdFehler[],3),CS$10&amp;Stammdaten!$AX$27,INDEX(INDIRECT($B$4),MATCH(CV44,INDIRECT($B$5),0))))</f>
        <v>Sprintdisziplinen nicht durchgeführt</v>
      </c>
      <c r="CX44" s="202" t="str">
        <f ca="1">IFERROR(INDEX(INDIRECT(CX$12),MATCH(CV44,StdDisziplinen[ID],0)),"")</f>
        <v/>
      </c>
      <c r="CY44" s="202" t="e">
        <f t="shared" ca="1" si="52"/>
        <v>#N/A</v>
      </c>
      <c r="CZ44" s="202" t="e">
        <f t="shared" ca="1" si="53"/>
        <v>#N/A</v>
      </c>
      <c r="DA44" s="98" t="str">
        <f t="shared" ca="1" si="223"/>
        <v/>
      </c>
      <c r="DB44" s="202" t="e">
        <f t="shared" ca="1" si="54"/>
        <v>#N/A</v>
      </c>
      <c r="DC44" s="202" t="str">
        <f t="shared" ca="1" si="55"/>
        <v/>
      </c>
      <c r="DD44" s="31" t="str">
        <f t="shared" ca="1" si="56"/>
        <v/>
      </c>
      <c r="DE44" s="31" t="str">
        <f t="shared" ca="1" si="56"/>
        <v/>
      </c>
      <c r="DF44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Row],[Skala-Wert]])&gt;0,MAX(DD44:DE44),99))</f>
        <v>Keine Note</v>
      </c>
      <c r="DG44" s="202" t="str">
        <f t="shared" ca="1" si="57"/>
        <v/>
      </c>
      <c r="DH44" s="202" t="str">
        <f ca="1">IF(DG44=$A$2,DD$10&amp;Stammdaten!$AX$25,IF(DF44=INDEX(StdFehler[],3),DD$10&amp;Stammdaten!$AX$27,INDEX(INDIRECT($B$4),MATCH(DG44,INDIRECT($B$5),0))))</f>
        <v>Ausdauerdisziplinen nicht durchgeführt</v>
      </c>
      <c r="DI44" s="202" t="str">
        <f ca="1">IFERROR(INDEX(INDIRECT(DI$12),MATCH(DG44,StdDisziplinen[ID],0)),"")</f>
        <v/>
      </c>
      <c r="DJ44" s="202" t="e">
        <f t="shared" ca="1" si="58"/>
        <v>#N/A</v>
      </c>
      <c r="DK44" s="202" t="e">
        <f t="shared" ca="1" si="59"/>
        <v>#N/A</v>
      </c>
      <c r="DL44" s="96" t="str">
        <f t="shared" ca="1" si="60"/>
        <v/>
      </c>
      <c r="DM44" s="202" t="e">
        <f t="shared" ca="1" si="61"/>
        <v>#N/A</v>
      </c>
      <c r="DN44" s="202" t="str">
        <f t="shared" ca="1" si="62"/>
        <v/>
      </c>
      <c r="DO44" s="31" t="str">
        <f t="shared" ca="1" si="63"/>
        <v/>
      </c>
      <c r="DP44" s="31" t="str">
        <f t="shared" ca="1" si="63"/>
        <v/>
      </c>
      <c r="DQ44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Row],[Skala-Wert]])&gt;0,MAX(DO44:DP44),99))</f>
        <v>Keine Note</v>
      </c>
      <c r="DR44" s="202" t="str">
        <f t="shared" ca="1" si="64"/>
        <v/>
      </c>
      <c r="DS44" s="202" t="str">
        <f ca="1">IF(DR44=$A$2,DO$10&amp;Stammdaten!$AX$25,IF(DQ44=INDEX(StdFehler[],3),DO$10&amp;Stammdaten!$AX$27,INDEX(INDIRECT($B$4),MATCH(DR44,INDIRECT($B$5),0))))</f>
        <v>Sprungdisziplinen nicht durchgeführt</v>
      </c>
      <c r="DT44" s="202" t="str">
        <f ca="1">IFERROR(INDEX(INDIRECT(DT$12),MATCH(DR44,StdDisziplinen[ID],0)),"")</f>
        <v/>
      </c>
      <c r="DU44" s="202" t="e">
        <f t="shared" ca="1" si="65"/>
        <v>#N/A</v>
      </c>
      <c r="DV44" s="202" t="e">
        <f t="shared" ca="1" si="66"/>
        <v>#N/A</v>
      </c>
      <c r="DW44" s="202" t="str">
        <f t="shared" ca="1" si="67"/>
        <v/>
      </c>
      <c r="DX44" s="202" t="e">
        <f t="shared" ca="1" si="68"/>
        <v>#N/A</v>
      </c>
      <c r="DY44" s="202" t="str">
        <f t="shared" ca="1" si="69"/>
        <v/>
      </c>
      <c r="DZ44" s="31" t="str">
        <f ca="1">IF(BallwurfSkalawert[[#This Row],[Skala-Wert]]=$A$3,$A$2,IF(ISNUMBER(BallwurfSkalawert[[#This Row],[Skala-Wert]]),BallwurfNote[[#This Row],[Note]],"!"))</f>
        <v>!</v>
      </c>
      <c r="EA44" s="31" t="str">
        <f ca="1">IF(KugelstossenSkalawert[[#This Row],[Skala-Wert]]=$A$3,$A$2,IF(ISNUMBER(KugelstossenSkalawert[[#This Row],[Skala-Wert]]),KugelstossenNote[[#This Row],[Note]],"!"))</f>
        <v>!</v>
      </c>
      <c r="EB44" s="31" t="str">
        <f ca="1">IF(SpeerwurfSkalawert[[#This Row],[Skala-Wert]]=$A$3,$A$2,IF(ISNUMBER(SpeerwurfSkalawert[[#This Row],[Skala-Wert]]),SpeerwurfNote[[#This Row],[Note]],"!"))</f>
        <v>!</v>
      </c>
      <c r="EC44" s="95" t="str">
        <f ca="1">IF(ED44&gt;0,MAX(DZ44:EB44),IF(EE44&gt;0,99,INDEX(StdFehler[StdFehler],3)))</f>
        <v>Keine Note</v>
      </c>
      <c r="ED44" s="202">
        <f t="shared" ca="1" si="70"/>
        <v>0</v>
      </c>
      <c r="EE44" s="202">
        <f t="shared" ca="1" si="71"/>
        <v>0</v>
      </c>
      <c r="EF44" s="202" t="str">
        <f t="shared" ca="1" si="72"/>
        <v/>
      </c>
      <c r="EG44" s="202" t="str">
        <f ca="1">IF(EF44=$A$2,DZ$10&amp;Stammdaten!$AX$25,IF(EC44=INDEX(StdFehler[],3),DZ$10&amp;Stammdaten!$AX$27,INDEX(INDIRECT($B$4),MATCH(EF44,INDIRECT($B$5),0))))</f>
        <v>Wurfdisziplinen nicht durchgeführt</v>
      </c>
      <c r="EH44" s="202" t="str">
        <f ca="1">IFERROR(INDEX(INDIRECT(EH$12),MATCH(EF44,StdDisziplinen[ID],0)),"")</f>
        <v/>
      </c>
      <c r="EI44" s="202" t="e">
        <f t="shared" ca="1" si="73"/>
        <v>#N/A</v>
      </c>
      <c r="EJ44" s="202" t="e">
        <f t="shared" ca="1" si="74"/>
        <v>#N/A</v>
      </c>
      <c r="EK44" s="98" t="str">
        <f t="shared" ca="1" si="75"/>
        <v/>
      </c>
      <c r="EL44" s="202" t="e">
        <f t="shared" ca="1" si="76"/>
        <v>#N/A</v>
      </c>
      <c r="EM44" s="202" t="str">
        <f t="shared" ca="1" si="77"/>
        <v/>
      </c>
      <c r="EN44" s="200">
        <f t="shared" ca="1" si="1"/>
        <v>0</v>
      </c>
      <c r="EO44" s="202">
        <f t="shared" ca="1" si="78"/>
        <v>0</v>
      </c>
      <c r="EP44" s="96">
        <f t="shared" ca="1" si="2"/>
        <v>0</v>
      </c>
      <c r="EQ44" s="96">
        <f t="shared" ca="1" si="3"/>
        <v>0</v>
      </c>
      <c r="ER44" s="96">
        <f t="shared" ca="1" si="4"/>
        <v>0</v>
      </c>
      <c r="ES44" s="96">
        <f t="shared" ca="1" si="5"/>
        <v>0</v>
      </c>
      <c r="ET44" s="202">
        <f t="shared" ca="1" si="79"/>
        <v>0</v>
      </c>
      <c r="EU44" s="202" t="str">
        <f ca="1">IF($EO44=$FA$4,Stammdaten!$AX$19,IF(COUNTIF($EP44:$ES44,0)&lt;&gt;0,INDEX(StdFehler[StdFehler],4),ROUND(SUM($ET44/$EN44)/$FC$4,0)*$FC$4))</f>
        <v>Zu wenige Noten</v>
      </c>
      <c r="EV44" s="202" t="str">
        <f t="shared" ca="1" si="6"/>
        <v>Zu wenige Noten</v>
      </c>
      <c r="EW44" s="202" t="str">
        <f t="shared" ca="1" si="80"/>
        <v>Zu wenige Noten</v>
      </c>
      <c r="EX44" s="202" t="str">
        <f t="shared" ca="1" si="80"/>
        <v>Zu wenige Noten</v>
      </c>
      <c r="EY44" s="202" t="str">
        <f t="shared" ca="1" si="80"/>
        <v>Zu wenige Noten</v>
      </c>
      <c r="EZ44" s="202" t="str">
        <f t="shared" ca="1" si="81"/>
        <v>Zu wenige Noten</v>
      </c>
      <c r="FA44" s="202" t="str">
        <f t="shared" ca="1" si="82"/>
        <v>Zu wenige Noten</v>
      </c>
      <c r="FB44" s="31"/>
      <c r="FC44" s="56" t="str">
        <f t="shared" ca="1" si="83"/>
        <v>Zu wenige Noten</v>
      </c>
      <c r="FD44" s="31"/>
      <c r="FE44" s="597"/>
      <c r="FF44" s="190"/>
      <c r="FJ44" s="31"/>
      <c r="FK44" s="597"/>
      <c r="FL44" s="190"/>
      <c r="FP44" s="31"/>
      <c r="FQ44" s="597"/>
      <c r="FR44" s="190"/>
      <c r="FV44" s="31"/>
      <c r="FW44" s="597"/>
      <c r="FX44" s="190"/>
      <c r="GB44" s="31"/>
      <c r="GC44" s="597"/>
      <c r="GD44" s="190"/>
      <c r="GF44" s="154"/>
      <c r="GH44" s="31"/>
      <c r="GI44" s="597"/>
      <c r="GJ44" s="190"/>
      <c r="GN44" s="45"/>
      <c r="GO44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4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4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4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4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4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4" s="202">
        <f t="shared" si="7"/>
        <v>0</v>
      </c>
      <c r="GV44" s="202">
        <f t="shared" si="8"/>
        <v>0</v>
      </c>
      <c r="GW44" s="202">
        <f t="shared" si="84"/>
        <v>0</v>
      </c>
      <c r="GX44" s="200" t="str">
        <f t="shared" si="85"/>
        <v>!</v>
      </c>
      <c r="GY44" s="200" t="str">
        <f t="shared" si="9"/>
        <v>!</v>
      </c>
      <c r="GZ44" s="200" t="str">
        <f t="shared" si="10"/>
        <v>!</v>
      </c>
      <c r="HA44" s="244" t="str">
        <f t="shared" si="86"/>
        <v>nd</v>
      </c>
      <c r="HB44" s="244" t="str">
        <f t="shared" si="87"/>
        <v>nd</v>
      </c>
      <c r="HC44" s="244" t="str">
        <f t="shared" si="88"/>
        <v>nd</v>
      </c>
      <c r="HD44" s="244" t="str">
        <f t="shared" si="89"/>
        <v>nd</v>
      </c>
      <c r="HE44" s="244" t="str">
        <f t="shared" si="90"/>
        <v>nd</v>
      </c>
      <c r="HF44" s="244" t="str">
        <f t="shared" si="91"/>
        <v>nd</v>
      </c>
      <c r="HG44" s="202" t="b">
        <f t="shared" si="92"/>
        <v>0</v>
      </c>
      <c r="HH44" s="202">
        <f t="shared" si="93"/>
        <v>1</v>
      </c>
      <c r="HI44" s="202">
        <f t="shared" si="94"/>
        <v>0</v>
      </c>
      <c r="HJ44" s="200" t="str">
        <f t="shared" si="95"/>
        <v/>
      </c>
      <c r="HK44" s="200" t="str">
        <f t="shared" si="96"/>
        <v/>
      </c>
      <c r="HL44" s="200">
        <f t="shared" si="97"/>
        <v>0</v>
      </c>
      <c r="HM44" s="202" t="str">
        <f t="shared" si="98"/>
        <v/>
      </c>
      <c r="HN44" s="200" t="str">
        <f t="shared" si="99"/>
        <v/>
      </c>
      <c r="HO44" s="200" t="str">
        <f t="shared" si="100"/>
        <v/>
      </c>
      <c r="HP44" s="200" t="str">
        <f t="shared" si="101"/>
        <v/>
      </c>
      <c r="HQ44" s="242" t="str">
        <f t="shared" si="102"/>
        <v/>
      </c>
      <c r="HR44" s="242" t="str">
        <f t="shared" si="103"/>
        <v/>
      </c>
      <c r="HS44" s="242" t="str">
        <f t="shared" si="104"/>
        <v/>
      </c>
      <c r="HT44" s="242" t="str">
        <f t="shared" ca="1" si="105"/>
        <v>Erstes Gerät</v>
      </c>
      <c r="HU44" s="242" t="str">
        <f ca="1">IF(HT44=$HS$12,Stammdaten!$AY$27,IF(HW44=$A$2,TRIM(Stammdaten!$AX$25),""))</f>
        <v>nicht durchgeführt</v>
      </c>
      <c r="HV44" s="242" t="str">
        <f t="shared" ca="1" si="106"/>
        <v/>
      </c>
      <c r="HW44" s="277" t="str">
        <f t="shared" si="11"/>
        <v/>
      </c>
      <c r="HX44" s="202" t="str">
        <f t="shared" si="107"/>
        <v/>
      </c>
      <c r="HY44" s="202" t="str">
        <f t="shared" ca="1" si="108"/>
        <v/>
      </c>
      <c r="HZ44" s="202" t="str">
        <f t="shared" ca="1" si="109"/>
        <v>StdDisziplinen[MaxTextSt]</v>
      </c>
      <c r="IA44" s="202" t="str">
        <f t="shared" ca="1" si="12"/>
        <v/>
      </c>
      <c r="IB44" s="202" t="b">
        <f t="shared" si="110"/>
        <v>0</v>
      </c>
      <c r="IC44" s="202" t="str">
        <f t="shared" si="111"/>
        <v/>
      </c>
      <c r="ID44" s="202" t="str">
        <f t="shared" si="112"/>
        <v/>
      </c>
      <c r="IE44" s="202" t="str">
        <f t="shared" si="113"/>
        <v/>
      </c>
      <c r="IF44" s="202" t="str">
        <f t="shared" si="114"/>
        <v/>
      </c>
      <c r="IG44" s="242" t="str">
        <f t="shared" si="115"/>
        <v/>
      </c>
      <c r="IH44" s="242" t="str">
        <f t="shared" si="116"/>
        <v/>
      </c>
      <c r="II44" s="242" t="str">
        <f t="shared" ca="1" si="13"/>
        <v>Zweites Gerät</v>
      </c>
      <c r="IJ44" s="242" t="str">
        <f ca="1">IF(II44=$IH$12,Stammdaten!$AY$27,IF(IL44=$A$2,TRIM(Stammdaten!$AX$25),""))</f>
        <v>nicht durchgeführt</v>
      </c>
      <c r="IK44" s="242" t="str">
        <f t="shared" ca="1" si="117"/>
        <v/>
      </c>
      <c r="IL44" s="200" t="str">
        <f t="shared" si="14"/>
        <v/>
      </c>
      <c r="IM44" s="202" t="str">
        <f t="shared" si="118"/>
        <v/>
      </c>
      <c r="IN44" s="202" t="str">
        <f t="shared" ca="1" si="119"/>
        <v/>
      </c>
      <c r="IO44" s="202" t="str">
        <f t="shared" ca="1" si="120"/>
        <v>StdDisziplinen[MaxTextSt]</v>
      </c>
      <c r="IP44" s="202" t="str">
        <f t="shared" ca="1" si="121"/>
        <v/>
      </c>
      <c r="IQ44" s="202" t="b">
        <f t="shared" si="122"/>
        <v>0</v>
      </c>
      <c r="IR44" s="242" t="str">
        <f t="shared" ca="1" si="15"/>
        <v>Drittes Gerät</v>
      </c>
      <c r="IS44" s="242" t="str">
        <f ca="1">IF(IR44=$IR$12,MID(Stammdaten!$AX$27,2,LEN(Stammdaten!$AX$27)),IF(IU44=$A$2,TRIM(Stammdaten!$AX$25),""))</f>
        <v>nicht durchgeführt</v>
      </c>
      <c r="IT44" s="242" t="str">
        <f t="shared" ca="1" si="16"/>
        <v/>
      </c>
      <c r="IU44" s="200" t="str">
        <f t="shared" si="17"/>
        <v/>
      </c>
      <c r="IV44" s="202" t="str">
        <f t="shared" si="123"/>
        <v/>
      </c>
      <c r="IW44" s="202" t="str">
        <f t="shared" ca="1" si="124"/>
        <v/>
      </c>
      <c r="IX44" s="202" t="str">
        <f t="shared" ca="1" si="125"/>
        <v>StdDisziplinen[MaxTextSt]</v>
      </c>
      <c r="IY44" s="202" t="str">
        <f t="shared" ca="1" si="18"/>
        <v/>
      </c>
      <c r="IZ44" s="200" t="str">
        <f>IF(NOT(GW44),INDEX(StdFehler[StdFehler],4),IF(COUNTIF(GX44:GZ44,$A$2)&gt;=$IZ$4,$A$3,SUM(GX44:GZ44)))</f>
        <v>Zu wenige Noten</v>
      </c>
      <c r="JA44" s="31"/>
      <c r="JB44" s="587" t="e">
        <f t="shared" si="19"/>
        <v>#VALUE!</v>
      </c>
      <c r="JC44" s="191" t="str">
        <f>IF(OR(Geschlecht[[#This Row],[Geschlecht (Skala)]]="",IZ44=""),"",MID(Geschlecht[[#This Row],[Geschlecht (Skala)]],1,1)&amp;MID($FE$16,1,1))</f>
        <v/>
      </c>
      <c r="JD44" s="190" t="str">
        <f>IF(OR(JC44="",IZ44=""),"",REPLACE(INDEX(StdDisziplinen[TabÜberschriftResultat],$FE$3),FIND("X",INDEX(StdDisziplinen[TabÜberschriftResultat],$FE$3),1),2,JC44))</f>
        <v/>
      </c>
      <c r="JE44" s="192" t="str">
        <f ca="1">IF(OR(JD44="",IZ44=Stammdaten!$AZ$5),"",IF(OR(IZ44=Stammdaten!$AX$22,IZ44=Stammdaten!$AX$19),Stammdaten!$AX$19,IF(ISNA(INDEX(INDIRECT(JD44),MATCH(GeräteturnenGerundet[[#This Row],[Rundung]],INDIRECT(JD44),$JD$16))),IF($JD$16=-1,LARGE(INDIRECT(JD44),1),SMALL(INDIRECT(JD44),1)),INDEX(INDIRECT(JD44),MATCH(GeräteturnenGerundet[[#This Row],[Rundung]],INDIRECT(JD44),$JD$16)))))</f>
        <v/>
      </c>
      <c r="JG44" s="18" t="str">
        <f ca="1">IF(GeräteturnenSkalawert[[#This Row],[Skala-Wert]]="","",REPLACE(INDEX(StdDisziplinen[TabÜberschriftNote],$FE$3),FIND("X",INDEX(StdDisziplinen[TabÜberschriftNote],$FE$3),1),2,JC44))</f>
        <v/>
      </c>
      <c r="JH44" s="45" t="str">
        <f ca="1">IF(OR(JG44="",GeräteturnenSkalawert[[#This Row],[Skala-Wert]]=Stammdaten!$AX$19),"",INDEX(INDIRECT(JG44),MATCH(GeräteturnenSkalawert[[#This Row],[Skala-Wert]],INDIRECT(JD44),0)))</f>
        <v/>
      </c>
      <c r="JI44" s="31"/>
      <c r="JJ44" s="597"/>
      <c r="JK44" s="190"/>
      <c r="JL44" s="587">
        <f>IF(JL$16,IF(JM$16=0.5,MROUND(ParkourResultat[[#This Row],[Resultat]],JM$16),ROUND(ParkourResultat[[#This Row],[Resultat]],JM$16)),ROUNDDOWN(ParkourResultat[[#This Row],[Resultat]],JM$16))</f>
        <v>0</v>
      </c>
      <c r="JM44" s="191" t="str">
        <f>IF(OR(Geschlecht[[#This Row],[Geschlecht (Skala)]]="",JJ$16=""),"",MID(Geschlecht[[#This Row],[Geschlecht (Skala)]],1,1)&amp;MID(JJ$16,1,1))</f>
        <v/>
      </c>
      <c r="JN44" s="190" t="str">
        <f>IF(OR(JM44="",ParkourResultat[[#This Row],[Resultat]]=""),"",REPLACE(INDEX(StdDisziplinen[TabÜberschriftResultat],JJ$3),FIND("X",INDEX(StdDisziplinen[TabÜberschriftResultat],JJ$3),1),2,JM44))</f>
        <v/>
      </c>
      <c r="JO44" s="192" t="str">
        <f ca="1">IF(JN44="","",IF(OR(ParkourResultat[[#This Row],[Resultat]]=Stammdaten!$AX$22,ParkourResultat[[#This Row],[Resultat]]=Stammdaten!$AX$19),Stammdaten!$AX$19,IF(ISNA(INDEX(INDIRECT(JN44),MATCH(ParkourGerundet[[#This Row],[Rundung]],INDIRECT(JN44),JN$18))),IF(JN$18=-1,LARGE(INDIRECT(JN44),1),SMALL(INDIRECT(JN44),1)),INDEX(INDIRECT(JN44),MATCH(ParkourGerundet[[#This Row],[Rundung]],INDIRECT(JN44),JN$18)))))</f>
        <v/>
      </c>
      <c r="JQ44" s="18" t="str">
        <f ca="1">IF(ParkourSkalawert[[#This Row],[Skala-Wert]]="","",REPLACE(INDEX(StdDisziplinen[TabÜberschriftNote],JJ$3),FIND("X",INDEX(StdDisziplinen[TabÜberschriftNote],JJ$3),1),2,JM44))</f>
        <v/>
      </c>
      <c r="JR44" s="31" t="str">
        <f ca="1">IF(OR(JQ44="",ParkourSkalawert[[#This Row],[Skala-Wert]]=Stammdaten!$AX$19),"",INDEX(INDIRECT(JQ44),MATCH(ParkourSkalawert[[#This Row],[Skala-Wert]],INDIRECT(JN44),0)))</f>
        <v/>
      </c>
      <c r="JS44" s="96"/>
      <c r="JT44" s="47" t="str">
        <f ca="1">IF(OR(ISNUMBER(ParkourSkalawert[[#This Row],[Skala-Wert]]),ParkourSkalawert[[#This Row],[Skala-Wert]]=$A$3),INDEX(INDIRECT($JU$1),MATCH($JJ$3,INDIRECT($B$5),0)),"")</f>
        <v/>
      </c>
      <c r="JU44" s="200" t="str">
        <f t="shared" ca="1" si="126"/>
        <v>StdDisziplinen[MaxTextSt]</v>
      </c>
      <c r="JV44" s="200" t="str">
        <f t="shared" ca="1" si="127"/>
        <v/>
      </c>
      <c r="JW44" s="98">
        <f ca="1">IF(GeräteturnenSkalawert[[#This Row],[Skala-Wert]]=$A$3,$A$2,IF(GeräteturnenNote[[#This Row],[Note]]="",0,GeräteturnenNote[[#This Row],[Note]]))</f>
        <v>0</v>
      </c>
      <c r="JX44" s="96">
        <f ca="1">IF(ParkourSkalawert[[#This Row],[Skala-Wert]]=$A$3,$A$2,IF(ParkourNote[[#This Row],[Note]]="",0,ParkourNote[[#This Row],[Note]]))</f>
        <v>0</v>
      </c>
      <c r="JY44" s="200">
        <f t="shared" ca="1" si="128"/>
        <v>0</v>
      </c>
      <c r="JZ44" s="200">
        <f t="shared" ca="1" si="129"/>
        <v>0</v>
      </c>
      <c r="KA44" s="202">
        <f t="shared" ca="1" si="130"/>
        <v>0</v>
      </c>
      <c r="KB44" s="98" t="str">
        <f t="shared" ca="1" si="20"/>
        <v>!</v>
      </c>
      <c r="KC44" s="98" t="str">
        <f t="shared" ca="1" si="21"/>
        <v>!</v>
      </c>
      <c r="KD44" s="202" t="str">
        <f ca="1">IF(NOT(KA44),INDEX(StdFehler[StdFehler],4),IF(JZ44=$KA$12,$A$3,IF(JW44=$A$2,JX44,IF(JX44=$A$2,JW44,CONCATENATE(JW44,", ",JX44)))))</f>
        <v>Zu wenige Noten</v>
      </c>
      <c r="KE44" s="202" t="str">
        <f t="shared" ca="1" si="131"/>
        <v>Zu wenige Noten</v>
      </c>
      <c r="KF44" s="31"/>
      <c r="KG44" s="56" t="str">
        <f ca="1">IF(NOT(KA44),INDEX(StdFehler[StdFehler],4),IF(JZ44=$KA$12,$A$3,ROUND(AVERAGE(KB44:KC44)/$KG$4,0)*$KG$4))</f>
        <v>Zu wenige Noten</v>
      </c>
      <c r="KH44" s="31"/>
      <c r="KI44" s="599"/>
      <c r="KJ44" s="190"/>
      <c r="KK44" s="586">
        <f>IF(KK$16,IF(KL$16=0.5,MROUND(TanzenResultat[[#This Row],[Resultat]],KL$16),ROUND(TanzenResultat[[#This Row],[Resultat]],KL$16)),ROUNDDOWN(TanzenResultat[[#This Row],[Resultat]],KL$16))</f>
        <v>0</v>
      </c>
      <c r="KL44" s="191" t="str">
        <f>IF(OR(Geschlecht[[#This Row],[Geschlecht (Skala)]]="",KI$16=""),"",MID(Geschlecht[[#This Row],[Geschlecht (Skala)]],1,1)&amp;MID(KI$16,1,1))</f>
        <v/>
      </c>
      <c r="KM44" s="190" t="str">
        <f>IF(OR(KL44="",TanzenResultat[[#This Row],[Resultat]]=""),"",REPLACE(INDEX(StdDisziplinen[TabÜberschriftResultat],KI$3),FIND("X",INDEX(StdDisziplinen[TabÜberschriftResultat],KI$3),1),2,KL44))</f>
        <v/>
      </c>
      <c r="KN44" s="31" t="str">
        <f ca="1">IF(KM44="","",IF(OR(TanzenResultat[[#This Row],[Resultat]]=Stammdaten!$AX$22,TanzenResultat[[#This Row],[Resultat]]=Stammdaten!$AX$19),Stammdaten!$AX$19,IF(ISNA(INDEX(INDIRECT(KM44),MATCH(TanzenGerundet[[#This Row],[Rundung]],INDIRECT(KM44),KM$18))),IF(KM$18=-1,LARGE(INDIRECT(KM44),1),SMALL(INDIRECT(KM44),1)),INDEX(INDIRECT(KM44),MATCH(TanzenGerundet[[#This Row],[Rundung]],INDIRECT(KM44),KM$18)))))</f>
        <v/>
      </c>
      <c r="KP44" s="18" t="str">
        <f ca="1">IF(TanzenSkalawert[[#This Row],[Skala-Wert]]="","",REPLACE(INDEX(StdDisziplinen[TabÜberschriftNote],KI$3),FIND("X",INDEX(StdDisziplinen[TabÜberschriftNote],KI$3),1),2,KL44))</f>
        <v/>
      </c>
      <c r="KQ44" s="45" t="str">
        <f ca="1">IF(OR(KP44="",TanzenSkalawert[[#This Row],[Skala-Wert]]=Stammdaten!$AX$19),"",INDEX(INDIRECT(KP44),MATCH(TanzenSkalawert[[#This Row],[Skala-Wert]],INDIRECT(KM44),0)))</f>
        <v/>
      </c>
      <c r="KR44" s="31"/>
      <c r="KS44" s="597"/>
      <c r="KT44" s="190"/>
      <c r="KU44" s="587">
        <f>IF(KU$16,IF(KV$16=0.5,MROUND(RopeSkippingResultat[[#This Row],[Resultat]],KV$16),ROUND(RopeSkippingResultat[[#This Row],[Resultat]],KV$16)),ROUNDDOWN(RopeSkippingResultat[[#This Row],[Resultat]],KV$16))</f>
        <v>0</v>
      </c>
      <c r="KV44" s="191" t="str">
        <f>IF(OR(Geschlecht[[#This Row],[Geschlecht (Skala)]]="",KS$16=""),"",MID(Geschlecht[[#This Row],[Geschlecht (Skala)]],1,1)&amp;MID(KS$16,1,1))</f>
        <v/>
      </c>
      <c r="KW44" s="190" t="str">
        <f>IF(OR(KV44="",RopeSkippingResultat[[#This Row],[Resultat]]=""),"",REPLACE(INDEX(StdDisziplinen[TabÜberschriftResultat],KS$3),FIND("X",INDEX(StdDisziplinen[TabÜberschriftResultat],KS$3),1),2,KV44))</f>
        <v/>
      </c>
      <c r="KX44" s="192" t="str">
        <f ca="1">IF(KW44="","",IF(OR(RopeSkippingResultat[[#This Row],[Resultat]]=Stammdaten!$AX$22,RopeSkippingResultat[[#This Row],[Resultat]]=Stammdaten!$AX$19),Stammdaten!$AX$19,IF(ISNA(INDEX(INDIRECT(KW44),MATCH(RopeSkippingGerundet[[#This Row],[Rundung]],INDIRECT(KW44),KW$18))),IF(KW$18=-1,LARGE(INDIRECT(KW44),1),SMALL(INDIRECT(KW44),1)),INDEX(INDIRECT(KW44),MATCH(RopeSkippingGerundet[[#This Row],[Rundung]],INDIRECT(KW44),KW$18)))))</f>
        <v/>
      </c>
      <c r="KZ44" s="18" t="str">
        <f ca="1">IF(RopeSkippingSkalawert[[#This Row],[Skala-Wert]]="","",REPLACE(INDEX(StdDisziplinen[TabÜberschriftNote],KS$3),FIND("X",INDEX(StdDisziplinen[TabÜberschriftNote],KS$3),1),2,KV44))</f>
        <v/>
      </c>
      <c r="LA44" s="45" t="str">
        <f ca="1">IF(OR(KZ44="",RopeSkippingSkalawert[[#This Row],[Skala-Wert]]=Stammdaten!$AX$19),"",INDEX(INDIRECT(KZ44),MATCH(RopeSkippingSkalawert[[#This Row],[Skala-Wert]],INDIRECT(KW44),0)))</f>
        <v/>
      </c>
      <c r="LB44" s="31"/>
      <c r="LC44" s="599"/>
      <c r="LD44" s="190"/>
      <c r="LE44" s="586">
        <f>IF(LE$16,IF(LF$16=0.5,MROUND(AerobicResultat[[#This Row],[Resultat]],LF$16),ROUND(AerobicResultat[[#This Row],[Resultat]],LF$16)),ROUNDDOWN(AerobicResultat[[#This Row],[Resultat]],LF$16))</f>
        <v>0</v>
      </c>
      <c r="LF44" s="191" t="str">
        <f>IF(OR(Geschlecht[[#This Row],[Geschlecht (Skala)]]="",LC$16=""),"",MID(Geschlecht[[#This Row],[Geschlecht (Skala)]],1,1)&amp;MID(LC$16,1,1))</f>
        <v/>
      </c>
      <c r="LG44" s="190" t="str">
        <f>IF(OR(LF44="",AerobicResultat[[#This Row],[Resultat]]=""),"",REPLACE(INDEX(StdDisziplinen[TabÜberschriftResultat],LC$3),FIND("X",INDEX(StdDisziplinen[TabÜberschriftResultat],LC$3),1),2,LF44))</f>
        <v/>
      </c>
      <c r="LH44" s="31" t="str">
        <f ca="1">IF(LG44="","",IF(OR(AerobicResultat[[#This Row],[Resultat]]=Stammdaten!$AX$22,AerobicResultat[[#This Row],[Resultat]]=Stammdaten!$AX$19),Stammdaten!$AX$19,IF(ISNA(INDEX(INDIRECT(LG44),MATCH(AerobicGerundet[[#This Row],[Rundung]],INDIRECT(LG44),LG$18))),IF(LG$18=-1,LARGE(INDIRECT(LG44),1),SMALL(INDIRECT(LG44),1)),INDEX(INDIRECT(LG44),MATCH(AerobicGerundet[[#This Row],[Rundung]],INDIRECT(LG44),LG$18)))))</f>
        <v/>
      </c>
      <c r="LJ44" s="18" t="str">
        <f ca="1">IF(AerobicSkalawert[[#This Row],[Skala-Wert]]="","",REPLACE(INDEX(StdDisziplinen[TabÜberschriftNote],LC$3),FIND("X",INDEX(StdDisziplinen[TabÜberschriftNote],LC$3),1),2,LF44))</f>
        <v/>
      </c>
      <c r="LK44" s="45" t="str">
        <f ca="1">IF(OR(LJ44="",AerobicSkalawert[[#This Row],[Skala-Wert]]=Stammdaten!$AX$19),"",INDEX(INDIRECT(LJ44),MATCH(AerobicSkalawert[[#This Row],[Skala-Wert]],INDIRECT(LG44),0)))</f>
        <v/>
      </c>
      <c r="LL44" s="31"/>
      <c r="LM44" s="45" t="str">
        <f ca="1">IF(TanzenSkalawert[[#This Row],[Skala-Wert]]=$A$3,$A$2,IF(ISNUMBER(TanzenSkalawert[[#This Row],[Skala-Wert]]),TanzenNote[[#This Row],[Note]],"!"))</f>
        <v>!</v>
      </c>
      <c r="LN44" s="45" t="str">
        <f ca="1">IF(RopeSkippingSkalawert[[#This Row],[Skala-Wert]]=$A$3,$A$2,IF(ISNUMBER(RopeSkippingSkalawert[[#This Row],[Skala-Wert]]),RopeSkippingNote[[#This Row],[Note]],"!"))</f>
        <v>!</v>
      </c>
      <c r="LO44" s="45" t="str">
        <f ca="1">IF(AerobicSkalawert[[#This Row],[Skala-Wert]]=$A$3,$A$2,IF(ISNUMBER(AerobicSkalawert[[#This Row],[Skala-Wert]]),AerobicNote[[#This Row],[Note]],"!"))</f>
        <v>!</v>
      </c>
      <c r="LP44" s="36">
        <f t="shared" ca="1" si="132"/>
        <v>0</v>
      </c>
      <c r="LQ44" s="36">
        <f t="shared" ca="1" si="133"/>
        <v>0</v>
      </c>
      <c r="LR44" s="244" t="str">
        <f t="shared" ca="1" si="22"/>
        <v>nd</v>
      </c>
      <c r="LS44" s="244" t="str">
        <f t="shared" ca="1" si="23"/>
        <v>nd</v>
      </c>
      <c r="LT44" s="244" t="str">
        <f t="shared" ca="1" si="24"/>
        <v>nd</v>
      </c>
      <c r="LU44" s="242" t="str">
        <f t="shared" ca="1" si="25"/>
        <v/>
      </c>
      <c r="LV44" s="242" t="str">
        <f t="shared" ca="1" si="134"/>
        <v/>
      </c>
      <c r="LW44" s="242" t="str">
        <f t="shared" ca="1" si="135"/>
        <v/>
      </c>
      <c r="LX44" s="242" t="str">
        <f ca="1">IF(LW44="",Stammdaten!$AM$4,INDEX(INDIRECT($B$4),MATCH($LW44,INDIRECT($B$5),0)))</f>
        <v>Darstellen und Tanzen</v>
      </c>
      <c r="LY44" s="242" t="str">
        <f ca="1">IF(LW44="",Stammdaten!$AY$27,IF(ISNUMBER(LU44),LX44,IF(ISNUMBER(LV44),TRIM(Stammdaten!$AX$25),"")))</f>
        <v>nicht durchgeführt</v>
      </c>
      <c r="LZ44" s="242" t="str">
        <f t="shared" ca="1" si="136"/>
        <v>Darstellen und Tanzen</v>
      </c>
      <c r="MA44" s="242" t="str">
        <f t="shared" ca="1" si="137"/>
        <v/>
      </c>
      <c r="MB44" s="242" t="str">
        <f t="shared" ca="1" si="26"/>
        <v>Darstellen und TanzenResultat[@Resultat]</v>
      </c>
      <c r="MC44" s="274" t="str">
        <f t="shared" ca="1" si="138"/>
        <v/>
      </c>
      <c r="MD44" s="242" t="str">
        <f t="shared" ca="1" si="139"/>
        <v>Darstellen und TanzenSkalawert[@[Skala-Wert]]</v>
      </c>
      <c r="ME44" s="274" t="str">
        <f t="shared" ca="1" si="140"/>
        <v/>
      </c>
      <c r="MF44" s="47" t="str">
        <f t="shared" ca="1" si="27"/>
        <v/>
      </c>
      <c r="MG44" s="200" t="str">
        <f t="shared" ca="1" si="141"/>
        <v>StdDisziplinen[MaxTextSt]</v>
      </c>
      <c r="MH44" s="200" t="str">
        <f t="shared" ca="1" si="142"/>
        <v/>
      </c>
      <c r="MI44" s="45"/>
      <c r="MJ44" s="98" t="str">
        <f ca="1">IF(LP44&gt;0,MAX(LM44:LO44),IF(LQ44&gt;0,$A$3,INDEX(StdFehler[StdFehler],4)))</f>
        <v>Zu wenige Noten</v>
      </c>
      <c r="MK44" s="45"/>
      <c r="ML44" s="37"/>
      <c r="MM44" s="190"/>
      <c r="MN44" s="586">
        <f>IF(MN$16,IF(MO$16=0.5,MROUND(BasketballResultat[[#This Row],[Resultat]],MO$16),ROUND(BasketballResultat[[#This Row],[Resultat]],MO$16)),ROUNDDOWN(BasketballResultat[[#This Row],[Resultat]],MO$16))</f>
        <v>0</v>
      </c>
      <c r="MO44" s="191" t="str">
        <f>IF(OR(Geschlecht[[#This Row],[Geschlecht (Skala)]]="",ML$16=""),"",MID(Geschlecht[[#This Row],[Geschlecht (Skala)]],1,1)&amp;MID(ML$16,1,1))</f>
        <v/>
      </c>
      <c r="MP44" s="190" t="str">
        <f>IF(OR(MO44="",BasketballResultat[[#This Row],[Resultat]]=""),"",REPLACE(INDEX(StdDisziplinen[TabÜberschriftResultat],ML$3),FIND("X",INDEX(StdDisziplinen[TabÜberschriftResultat],ML$3),1),2,MO44))</f>
        <v/>
      </c>
      <c r="MQ44" s="31" t="str">
        <f ca="1">IF(MP44="","",IF(OR(BasketballResultat[[#This Row],[Resultat]]=Stammdaten!$AX$22,BasketballResultat[[#This Row],[Resultat]]=Stammdaten!$AX$19),Stammdaten!$AX$19,IF(ISNA(INDEX(INDIRECT(MP44),MATCH(BasketballGerundet[[#This Row],[Rundung]],INDIRECT(MP44),MP$18))),IF(MP$18=-1,LARGE(INDIRECT(MP44),1),SMALL(INDIRECT(MP44),1)),INDEX(INDIRECT(MP44),MATCH(BasketballGerundet[[#This Row],[Rundung]],INDIRECT(MP44),MP$18)))))</f>
        <v/>
      </c>
      <c r="MS44" s="18" t="str">
        <f ca="1">IF(BasketballSkalawert[[#This Row],[Skala-Wert]]="","",REPLACE(INDEX(StdDisziplinen[TabÜberschriftNote],ML$3),FIND("X",INDEX(StdDisziplinen[TabÜberschriftNote],ML$3),1),2,MO44))</f>
        <v/>
      </c>
      <c r="MT44" s="31" t="str">
        <f ca="1">IF(OR(MS44="",BasketballSkalawert[[#This Row],[Skala-Wert]]=Stammdaten!$AX$19),"",INDEX(INDIRECT(MS44),MATCH(BasketballSkalawert[[#This Row],[Skala-Wert]],INDIRECT(MP44),0)))</f>
        <v/>
      </c>
      <c r="MU44" s="31"/>
      <c r="MV44" s="37"/>
      <c r="MW44" s="190"/>
      <c r="MX44" s="586">
        <f>IF(MX$16,IF(MY$16=0.5,MROUND(FussballResultat[[#This Row],[Resultat]],MY$16),ROUND(FussballResultat[[#This Row],[Resultat]],MY$16)),ROUNDDOWN(FussballResultat[[#This Row],[Resultat]],MY$16))</f>
        <v>0</v>
      </c>
      <c r="MY44" s="191" t="str">
        <f>IF(OR(Geschlecht[[#This Row],[Geschlecht (Skala)]]="",MV$16=""),"",MID(Geschlecht[[#This Row],[Geschlecht (Skala)]],1,1)&amp;MID(MV$16,1,1))</f>
        <v/>
      </c>
      <c r="MZ44" s="190" t="str">
        <f>IF(OR(MY44="",FussballResultat[[#This Row],[Resultat]]=""),"",REPLACE(INDEX(StdDisziplinen[TabÜberschriftResultat],MV$3),FIND("X",INDEX(StdDisziplinen[TabÜberschriftResultat],MV$3),1),2,MY44))</f>
        <v/>
      </c>
      <c r="NA44" s="31" t="str">
        <f ca="1">IF(MZ44="","",IF(OR(FussballResultat[[#This Row],[Resultat]]=Stammdaten!$AX$22,FussballResultat[[#This Row],[Resultat]]=Stammdaten!$AX$19),Stammdaten!$AX$19,IF(ISNA(INDEX(INDIRECT(MZ44),MATCH(FussballGerundet[[#This Row],[Rundung]],INDIRECT(MZ44),MZ$18))),IF(MZ$18=-1,LARGE(INDIRECT(MZ44),1),SMALL(INDIRECT(MZ44),1)),INDEX(INDIRECT(MZ44),MATCH(FussballGerundet[[#This Row],[Rundung]],INDIRECT(MZ44),MZ$18)))))</f>
        <v/>
      </c>
      <c r="NC44" s="18" t="str">
        <f ca="1">IF(FussballSkalawert[[#This Row],[Skala-Wert]]="","",REPLACE(INDEX(StdDisziplinen[TabÜberschriftNote],MV$3),FIND("X",INDEX(StdDisziplinen[TabÜberschriftNote],MV$3),1),2,MY44))</f>
        <v/>
      </c>
      <c r="ND44" s="31" t="str">
        <f ca="1">IF(OR(NC44="",FussballSkalawert[[#This Row],[Skala-Wert]]=Stammdaten!$AX$19),"",INDEX(INDIRECT(NC44),MATCH(FussballSkalawert[[#This Row],[Skala-Wert]],INDIRECT(MZ44),0)))</f>
        <v/>
      </c>
      <c r="NE44" s="31"/>
      <c r="NF44" s="37"/>
      <c r="NG44" s="190"/>
      <c r="NH44" s="586">
        <f>IF(NH$16,IF(NI$16=0.5,MROUND(HandballResultat[[#This Row],[Resultat]],NI$16),ROUND(HandballResultat[[#This Row],[Resultat]],NI$16)),ROUNDDOWN(HandballResultat[[#This Row],[Resultat]],NI$16))</f>
        <v>0</v>
      </c>
      <c r="NI44" s="191" t="str">
        <f>IF(OR(Geschlecht[[#This Row],[Geschlecht (Skala)]]="",NF$16=""),"",MID(Geschlecht[[#This Row],[Geschlecht (Skala)]],1,1)&amp;MID(NF$16,1,1))</f>
        <v/>
      </c>
      <c r="NJ44" s="190" t="str">
        <f>IF(OR(NI44="",HandballResultat[[#This Row],[Resultat]]=""),"",REPLACE(INDEX(StdDisziplinen[TabÜberschriftResultat],NF$3),FIND("X",INDEX(StdDisziplinen[TabÜberschriftResultat],NF$3),1),2,NI44))</f>
        <v/>
      </c>
      <c r="NK44" s="31" t="str">
        <f ca="1">IF(NJ44="","",IF(OR(HandballResultat[[#This Row],[Resultat]]=Stammdaten!$AX$22,HandballResultat[[#This Row],[Resultat]]=Stammdaten!$AX$19),Stammdaten!$AX$19,IF(ISNA(INDEX(INDIRECT(NJ44),MATCH(HandballGerundet[[#This Row],[Rundung]],INDIRECT(NJ44),NJ$18))),IF(NJ$18=-1,LARGE(INDIRECT(NJ44),1),SMALL(INDIRECT(NJ44),1)),INDEX(INDIRECT(NJ44),MATCH(HandballGerundet[[#This Row],[Rundung]],INDIRECT(NJ44),NJ$18)))))</f>
        <v/>
      </c>
      <c r="NM44" s="18" t="str">
        <f ca="1">IF(HandballSkalawert[[#This Row],[Skala-Wert]]="","",REPLACE(INDEX(StdDisziplinen[TabÜberschriftNote],NF$3),FIND("X",INDEX(StdDisziplinen[TabÜberschriftNote],NF$3),1),2,NI44))</f>
        <v/>
      </c>
      <c r="NN44" s="31" t="str">
        <f ca="1">IF(OR(NM44="",HandballSkalawert[[#This Row],[Skala-Wert]]=Stammdaten!$AX$19),"",INDEX(INDIRECT(NM44),MATCH(HandballSkalawert[[#This Row],[Skala-Wert]],INDIRECT(NJ44),0)))</f>
        <v/>
      </c>
      <c r="NO44" s="31"/>
      <c r="NP44" s="37"/>
      <c r="NQ44" s="190"/>
      <c r="NR44" s="586">
        <f>IF(NR$16,IF(NS$16=0.5,MROUND(UnihockeyResultat[[#This Row],[Resultat]],NS$16),ROUND(UnihockeyResultat[[#This Row],[Resultat]],NS$16)),ROUNDDOWN(UnihockeyResultat[[#This Row],[Resultat]],NS$16))</f>
        <v>0</v>
      </c>
      <c r="NS44" s="191" t="str">
        <f>IF(OR(Geschlecht[[#This Row],[Geschlecht (Skala)]]="",NP$16=""),"",MID(Geschlecht[[#This Row],[Geschlecht (Skala)]],1,1)&amp;MID(NP$16,1,1))</f>
        <v/>
      </c>
      <c r="NT44" s="190" t="str">
        <f>IF(OR(NS44="",UnihockeyResultat[[#This Row],[Resultat]]=""),"",REPLACE(INDEX(StdDisziplinen[TabÜberschriftResultat],NP$3),FIND("X",INDEX(StdDisziplinen[TabÜberschriftResultat],NP$3),1),2,NS44))</f>
        <v/>
      </c>
      <c r="NU44" s="31" t="str">
        <f ca="1">IF(NT44="","",IF(OR(UnihockeyResultat[[#This Row],[Resultat]]=Stammdaten!$AX$22,UnihockeyResultat[[#This Row],[Resultat]]=Stammdaten!$AX$19),Stammdaten!$AX$19,IF(ISNA(INDEX(INDIRECT(NT44),MATCH(UnihockeyGerundet[[#This Row],[Rundung]],INDIRECT(NT44),NT$18))),IF(NT$18=-1,LARGE(INDIRECT(NT44),1),SMALL(INDIRECT(NT44),1)),INDEX(INDIRECT(NT44),MATCH(UnihockeyGerundet[[#This Row],[Rundung]],INDIRECT(NT44),NT$18)))))</f>
        <v/>
      </c>
      <c r="NW44" s="18" t="str">
        <f ca="1">IF(UnihockeySkalawert[[#This Row],[Skala-Wert]]="","",REPLACE(INDEX(StdDisziplinen[TabÜberschriftNote],NP$3),FIND("X",INDEX(StdDisziplinen[TabÜberschriftNote],NP$3),1),2,NS44))</f>
        <v/>
      </c>
      <c r="NX44" s="31" t="str">
        <f ca="1">IF(OR(NW44="",UnihockeySkalawert[[#This Row],[Skala-Wert]]=Stammdaten!$AX$19),"",INDEX(INDIRECT(NW44),MATCH(UnihockeySkalawert[[#This Row],[Skala-Wert]],INDIRECT(NT44),0)))</f>
        <v/>
      </c>
      <c r="NY44" s="31"/>
      <c r="NZ44" s="597"/>
      <c r="OA44" s="190"/>
      <c r="OB44" s="587">
        <f>IF(OB$16,IF(OC$16=0.5,MROUND(VolleyballResultat[[#This Row],[Resultat]],OC$16),ROUND(VolleyballResultat[[#This Row],[Resultat]],OC$16)),ROUNDDOWN(VolleyballResultat[[#This Row],[Resultat]],OC$16))</f>
        <v>0</v>
      </c>
      <c r="OC44" s="191" t="str">
        <f>IF(OR(Geschlecht[[#This Row],[Geschlecht (Skala)]]="",NZ$16=""),"",MID(Geschlecht[[#This Row],[Geschlecht (Skala)]],1,1)&amp;MID(NZ$16,1,1))</f>
        <v/>
      </c>
      <c r="OD44" s="190" t="str">
        <f>IF(OR(OC44="",VolleyballResultat[[#This Row],[Resultat]]=""),"",REPLACE(INDEX(StdDisziplinen[TabÜberschriftResultat],NZ$3),FIND("X",INDEX(StdDisziplinen[TabÜberschriftResultat],NZ$3),1),2,OC44))</f>
        <v/>
      </c>
      <c r="OE44" s="192" t="str">
        <f ca="1">IF(OD44="","",IF(OR(VolleyballResultat[[#This Row],[Resultat]]=Stammdaten!$AX$22,VolleyballResultat[[#This Row],[Resultat]]=Stammdaten!$AX$19),Stammdaten!$AX$19,IF(ISNA(INDEX(INDIRECT(OD44),MATCH(VolleyballGerundet[[#This Row],[Rundung]],INDIRECT(OD44),OD$18))),IF(OD$18=-1,LARGE(INDIRECT(OD44),1),SMALL(INDIRECT(OD44),1)),INDEX(INDIRECT(OD44),MATCH(VolleyballGerundet[[#This Row],[Rundung]],INDIRECT(OD44),OD$18)))))</f>
        <v/>
      </c>
      <c r="OG44" s="18" t="str">
        <f ca="1">IF(VolleyballSkalawert[[#This Row],[Skala-Wert]]="","",REPLACE(INDEX(StdDisziplinen[TabÜberschriftNote],NZ$3),FIND("X",INDEX(StdDisziplinen[TabÜberschriftNote],NZ$3),1),2,OC44))</f>
        <v/>
      </c>
      <c r="OH44" s="31" t="str">
        <f ca="1">IF(OR(OG44="",VolleyballSkalawert[[#This Row],[Skala-Wert]]=Stammdaten!$AX$19),"",INDEX(INDIRECT(OG44),MATCH(VolleyballSkalawert[[#This Row],[Skala-Wert]],INDIRECT(OD44),0)))</f>
        <v/>
      </c>
      <c r="OI44" s="45"/>
      <c r="OJ44" s="31">
        <f ca="1">IF(BasketballSkalawert[[#This Row],[Skala-Wert]]=$A$3,$A$2,IF(BasketballNote[[#This Row],[Note]]="",0,BasketballNote[[#This Row],[Note]]))</f>
        <v>0</v>
      </c>
      <c r="OK44" s="31">
        <f ca="1">IF(FussballSkalawert[[#This Row],[Skala-Wert]]=$A$3,$A$2,IF(FussballNote[[#This Row],[Note]]="",0,FussballNote[[#This Row],[Note]]))</f>
        <v>0</v>
      </c>
      <c r="OL44" s="31">
        <f ca="1">IF(HandballSkalawert[[#This Row],[Skala-Wert]]=$A$3,$A$2,IF(HandballNote[[#This Row],[Note]]="",0,HandballNote[[#This Row],[Note]]))</f>
        <v>0</v>
      </c>
      <c r="OM44" s="31">
        <f ca="1">IF(UnihockeySkalawert[[#This Row],[Skala-Wert]]=$A$3,$A$2,IF(UnihockeyNote[[#This Row],[Note]]="",0,UnihockeyNote[[#This Row],[Note]]))</f>
        <v>0</v>
      </c>
      <c r="ON44" s="31">
        <f ca="1">IF(VolleyballSkalawert[[#This Row],[Skala-Wert]]=$A$3,$A$2,IF(VolleyballNote[[#This Row],[Note]]="",0,VolleyballNote[[#This Row],[Note]]))</f>
        <v>0</v>
      </c>
      <c r="OO44" s="202">
        <f t="shared" ca="1" si="28"/>
        <v>0</v>
      </c>
      <c r="OP44" s="202">
        <f t="shared" ca="1" si="29"/>
        <v>0</v>
      </c>
      <c r="OQ44" s="202">
        <f t="shared" ca="1" si="143"/>
        <v>0</v>
      </c>
      <c r="OR44" s="96" t="str">
        <f t="shared" ca="1" si="144"/>
        <v>!</v>
      </c>
      <c r="OS44" s="96" t="str">
        <f t="shared" ca="1" si="30"/>
        <v>!</v>
      </c>
      <c r="OT44" s="96" t="str">
        <f t="shared" ca="1" si="31"/>
        <v>!</v>
      </c>
      <c r="OU44" s="96" t="str">
        <f ca="1">IF(NOT(OQ44),INDEX(StdFehler[StdFehler],4),IF(COUNTIF(OR44:OT44,$A$2)&gt;=$OQ$13,$A$3,ROUND(AVERAGE(OR44:OT44)/$RX$4,0)*$RX$4))</f>
        <v>Zu wenige Noten</v>
      </c>
      <c r="OV44" s="244" t="str">
        <f t="shared" ca="1" si="145"/>
        <v>nd</v>
      </c>
      <c r="OW44" s="244" t="str">
        <f t="shared" ca="1" si="146"/>
        <v>nd</v>
      </c>
      <c r="OX44" s="244" t="str">
        <f t="shared" ca="1" si="147"/>
        <v>nd</v>
      </c>
      <c r="OY44" s="244" t="str">
        <f t="shared" ca="1" si="148"/>
        <v>nd</v>
      </c>
      <c r="OZ44" s="244" t="str">
        <f t="shared" ca="1" si="149"/>
        <v>nd</v>
      </c>
      <c r="PA44" s="202" t="b">
        <f t="shared" ca="1" si="150"/>
        <v>0</v>
      </c>
      <c r="PB44" s="202">
        <f t="shared" ca="1" si="151"/>
        <v>1</v>
      </c>
      <c r="PC44" s="202">
        <f t="shared" ca="1" si="152"/>
        <v>0</v>
      </c>
      <c r="PD44" s="96" t="str">
        <f t="shared" ca="1" si="153"/>
        <v/>
      </c>
      <c r="PE44" s="96" t="str">
        <f t="shared" ca="1" si="154"/>
        <v/>
      </c>
      <c r="PF44" s="200">
        <f t="shared" ca="1" si="155"/>
        <v>0</v>
      </c>
      <c r="PG44" s="202" t="str">
        <f t="shared" ca="1" si="156"/>
        <v/>
      </c>
      <c r="PH44" s="200" t="str">
        <f t="shared" ca="1" si="157"/>
        <v/>
      </c>
      <c r="PI44" s="200" t="str">
        <f t="shared" ca="1" si="158"/>
        <v/>
      </c>
      <c r="PJ44" s="200" t="str">
        <f t="shared" ca="1" si="159"/>
        <v/>
      </c>
      <c r="PK44" s="242" t="str">
        <f t="shared" ca="1" si="160"/>
        <v/>
      </c>
      <c r="PL44" s="242" t="str">
        <f t="shared" ca="1" si="161"/>
        <v/>
      </c>
      <c r="PM44" s="242" t="str">
        <f t="shared" ca="1" si="162"/>
        <v/>
      </c>
      <c r="PN44" s="242" t="str">
        <f t="shared" ca="1" si="163"/>
        <v>Erste Spielsportart</v>
      </c>
      <c r="PO44" s="242" t="str">
        <f ca="1">IF(PN44=$PM$11,Stammdaten!$AY$27,IF(PR44=$A$2,TRIM(Stammdaten!$AX$25),""))</f>
        <v>nicht durchgeführt</v>
      </c>
      <c r="PP44" s="242" t="str">
        <f t="shared" ca="1" si="164"/>
        <v/>
      </c>
      <c r="PQ44" s="202" t="str">
        <f t="shared" ca="1" si="165"/>
        <v>Erste SpielsportartResultat[@Resultat]</v>
      </c>
      <c r="PR44" s="98" t="str">
        <f t="shared" ca="1" si="166"/>
        <v/>
      </c>
      <c r="PS44" s="202" t="str">
        <f t="shared" ca="1" si="167"/>
        <v/>
      </c>
      <c r="PT44" s="202" t="str">
        <f t="shared" ca="1" si="168"/>
        <v>Erste SpielsportartSkalawert[@[Skala-Wert]]</v>
      </c>
      <c r="PU44" s="98" t="str">
        <f t="shared" ca="1" si="169"/>
        <v/>
      </c>
      <c r="PV44" s="202" t="str">
        <f t="shared" ca="1" si="170"/>
        <v/>
      </c>
      <c r="PW44" s="202" t="str">
        <f t="shared" ca="1" si="171"/>
        <v/>
      </c>
      <c r="PX44" s="202" t="str">
        <f t="shared" ca="1" si="172"/>
        <v>StdDisziplinen[MaxTextSt]</v>
      </c>
      <c r="PY44" s="202" t="str">
        <f t="shared" ca="1" si="173"/>
        <v/>
      </c>
      <c r="PZ44" s="202" t="b">
        <f t="shared" ca="1" si="174"/>
        <v>0</v>
      </c>
      <c r="QA44" s="202" t="str">
        <f t="shared" ca="1" si="175"/>
        <v/>
      </c>
      <c r="QB44" s="202" t="str">
        <f t="shared" ca="1" si="32"/>
        <v/>
      </c>
      <c r="QC44" s="202" t="str">
        <f t="shared" ca="1" si="176"/>
        <v/>
      </c>
      <c r="QD44" s="202" t="str">
        <f t="shared" ca="1" si="177"/>
        <v/>
      </c>
      <c r="QE44" s="242" t="str">
        <f t="shared" ca="1" si="178"/>
        <v/>
      </c>
      <c r="QF44" s="242" t="str">
        <f t="shared" ca="1" si="179"/>
        <v/>
      </c>
      <c r="QG44" s="242" t="str">
        <f t="shared" ca="1" si="180"/>
        <v>Zweite Spielsportart</v>
      </c>
      <c r="QH44" s="242" t="str">
        <f ca="1">IF(QG44=$QF$11,Stammdaten!$AY$27,IF(QK44=$A$2,TRIM(Stammdaten!$AX$25),""))</f>
        <v>nicht durchgeführt</v>
      </c>
      <c r="QI44" s="242" t="str">
        <f t="shared" ca="1" si="181"/>
        <v/>
      </c>
      <c r="QJ44" s="202" t="str">
        <f t="shared" ca="1" si="182"/>
        <v>Zweite SpielsportartResultat[@Resultat]</v>
      </c>
      <c r="QK44" s="98" t="str">
        <f t="shared" ca="1" si="183"/>
        <v/>
      </c>
      <c r="QL44" s="202" t="str">
        <f t="shared" ca="1" si="184"/>
        <v/>
      </c>
      <c r="QM44" s="202" t="str">
        <f t="shared" ca="1" si="185"/>
        <v>Zweite SpielsportartSkalawert[@[Skala-Wert]]</v>
      </c>
      <c r="QN44" s="98" t="str">
        <f t="shared" ca="1" si="186"/>
        <v/>
      </c>
      <c r="QO44" s="202" t="str">
        <f t="shared" ca="1" si="187"/>
        <v/>
      </c>
      <c r="QP44" s="202" t="str">
        <f t="shared" ca="1" si="188"/>
        <v/>
      </c>
      <c r="QQ44" s="202" t="str">
        <f t="shared" ca="1" si="189"/>
        <v>StdDisziplinen[MaxTextSt]</v>
      </c>
      <c r="QR44" s="202" t="str">
        <f t="shared" ca="1" si="190"/>
        <v/>
      </c>
      <c r="QS44" s="202" t="b">
        <f t="shared" ca="1" si="191"/>
        <v>0</v>
      </c>
      <c r="QT44" s="242" t="str">
        <f t="shared" ca="1" si="33"/>
        <v>Dritte Spielsportart</v>
      </c>
      <c r="QU44" s="242" t="str">
        <f ca="1">IF(QT44=$QT$11,MID(Stammdaten!$AX$27,2,LEN(Stammdaten!$AX$27)),IF(QX44=$A$2,TRIM(Stammdaten!$AX$25),""))</f>
        <v>nicht durchgeführt</v>
      </c>
      <c r="QV44" s="242" t="str">
        <f t="shared" ca="1" si="34"/>
        <v/>
      </c>
      <c r="QW44" s="202" t="str">
        <f t="shared" ca="1" si="192"/>
        <v>Dritte SpielsportartResultat[@Resultat]</v>
      </c>
      <c r="QX44" s="98" t="str">
        <f t="shared" ca="1" si="193"/>
        <v/>
      </c>
      <c r="QY44" s="202" t="str">
        <f t="shared" ca="1" si="35"/>
        <v/>
      </c>
      <c r="QZ44" s="202" t="str">
        <f t="shared" ca="1" si="194"/>
        <v>Dritte SpielsportartSkalawert[@[Skala-Wert]]</v>
      </c>
      <c r="RA44" s="98" t="str">
        <f t="shared" ca="1" si="224"/>
        <v/>
      </c>
      <c r="RB44" s="202" t="str">
        <f t="shared" ca="1" si="36"/>
        <v/>
      </c>
      <c r="RC44" s="202" t="str">
        <f t="shared" ca="1" si="196"/>
        <v/>
      </c>
      <c r="RD44" s="202" t="str">
        <f t="shared" ca="1" si="197"/>
        <v>StdDisziplinen[MaxTextSt]</v>
      </c>
      <c r="RE44" s="202" t="str">
        <f t="shared" ca="1" si="37"/>
        <v/>
      </c>
      <c r="RF44" s="244">
        <f t="shared" ca="1" si="38"/>
        <v>99</v>
      </c>
      <c r="RG44" s="244">
        <f t="shared" ca="1" si="39"/>
        <v>99</v>
      </c>
      <c r="RH44" s="244">
        <f t="shared" ca="1" si="40"/>
        <v>99</v>
      </c>
      <c r="RI44" s="244">
        <f t="shared" ca="1" si="41"/>
        <v>99</v>
      </c>
      <c r="RJ44" s="244">
        <f t="shared" ca="1" si="42"/>
        <v>99</v>
      </c>
      <c r="RK44" s="244">
        <f t="shared" ca="1" si="198"/>
        <v>99</v>
      </c>
      <c r="RL44" s="244">
        <f t="shared" ca="1" si="199"/>
        <v>99</v>
      </c>
      <c r="RM44" s="244">
        <f t="shared" ca="1" si="200"/>
        <v>99</v>
      </c>
      <c r="RN44" s="244">
        <f t="shared" ca="1" si="201"/>
        <v>99</v>
      </c>
      <c r="RO44" s="244">
        <f t="shared" ca="1" si="202"/>
        <v>99</v>
      </c>
      <c r="RP44" s="202" t="str">
        <f t="shared" ca="1" si="43"/>
        <v>Zu wenige Noten</v>
      </c>
      <c r="RQ44" s="202" t="str">
        <f t="shared" ca="1" si="203"/>
        <v>Zu wenige Noten</v>
      </c>
      <c r="RR44" s="202" t="str">
        <f t="shared" ca="1" si="203"/>
        <v>Zu wenige Noten</v>
      </c>
      <c r="RS44" s="202" t="str">
        <f t="shared" ca="1" si="204"/>
        <v>Zu wenige Noten</v>
      </c>
      <c r="RT44" s="202" t="str">
        <f t="shared" ca="1" si="204"/>
        <v>Zu wenige Noten</v>
      </c>
      <c r="RU44" s="202" t="str">
        <f t="shared" ca="1" si="205"/>
        <v>Zu wenige Noten</v>
      </c>
      <c r="RV44" s="202" t="str">
        <f t="shared" ca="1" si="206"/>
        <v>Zu wenige Noten</v>
      </c>
      <c r="RW44" s="31"/>
      <c r="RX44" s="56" t="str">
        <f t="shared" ca="1" si="44"/>
        <v>Zu wenige Noten</v>
      </c>
      <c r="RY44" s="31"/>
      <c r="RZ44" s="31" t="str">
        <f t="shared" ca="1" si="45"/>
        <v>Zu wenige Noten</v>
      </c>
      <c r="SA44" s="31" t="str">
        <f t="shared" ca="1" si="46"/>
        <v>Zu wenige Noten</v>
      </c>
      <c r="SB44" s="45" t="str">
        <f t="shared" ca="1" si="47"/>
        <v>Zu wenige Noten</v>
      </c>
      <c r="SC44" s="31" t="str">
        <f t="shared" ca="1" si="207"/>
        <v>Zu wenige Noten</v>
      </c>
      <c r="SD44" s="31" t="str">
        <f t="shared" ca="1" si="208"/>
        <v>Zu wenige Noten</v>
      </c>
      <c r="SE44" s="31" t="str">
        <f t="shared" ca="1" si="225"/>
        <v>Zu wenige Noten</v>
      </c>
      <c r="SF44" s="31" t="str">
        <f t="shared" ca="1" si="209"/>
        <v>Zu wenige Noten</v>
      </c>
      <c r="SG44" s="31" t="str">
        <f t="shared" ca="1" si="226"/>
        <v>Zu wenige Noten</v>
      </c>
      <c r="SH44" s="36">
        <f t="shared" ca="1" si="210"/>
        <v>0</v>
      </c>
      <c r="SI44" s="36">
        <f t="shared" ca="1" si="211"/>
        <v>0</v>
      </c>
      <c r="SJ44" s="36">
        <f t="shared" ca="1" si="212"/>
        <v>0</v>
      </c>
      <c r="SK44" s="31">
        <f t="shared" ca="1" si="213"/>
        <v>99</v>
      </c>
      <c r="SL44" s="31">
        <f t="shared" ca="1" si="214"/>
        <v>99</v>
      </c>
      <c r="SM44" s="36" t="str">
        <f t="shared" ca="1" si="215"/>
        <v>99.0</v>
      </c>
      <c r="SN44" s="31">
        <f t="shared" ca="1" si="216"/>
        <v>99</v>
      </c>
      <c r="SO44" s="36" t="str">
        <f ca="1">IF(NOT(SJ44),INDEX(StdFehler[StdFehler],4),IF(SI44=$SJ$13,$A$3,CONCATENATE(TEXT(SK44,"#.0"),", ",TEXT(SL44,"#.0"),", ",SM44,", ",TEXT(SN44,"#.0"))))</f>
        <v>Zu wenige Noten</v>
      </c>
      <c r="SP44" s="36" t="str">
        <f t="shared" ca="1" si="49"/>
        <v>Zu wenige Noten</v>
      </c>
      <c r="SQ44" s="36" t="str">
        <f t="shared" ca="1" si="49"/>
        <v>Zu wenige Noten</v>
      </c>
      <c r="SR44" s="36" t="str">
        <f t="shared" ca="1" si="49"/>
        <v>Zu wenige Noten</v>
      </c>
      <c r="SS44" s="36" t="str">
        <f t="shared" ca="1" si="49"/>
        <v>Zu wenige Noten</v>
      </c>
      <c r="ST44" s="36" t="str">
        <f t="shared" ca="1" si="217"/>
        <v>Zu wenige Noten</v>
      </c>
      <c r="SU44" s="36"/>
      <c r="SV44" s="214" t="str">
        <f t="shared" si="218"/>
        <v>D</v>
      </c>
      <c r="SW44" s="36"/>
      <c r="SX44" s="214" t="str">
        <f t="shared" si="219"/>
        <v>D</v>
      </c>
      <c r="SY44" s="36"/>
      <c r="SZ44" s="214" t="str">
        <f t="shared" si="220"/>
        <v>D</v>
      </c>
      <c r="TA44" s="36"/>
      <c r="TB44" s="214" t="str">
        <f t="shared" si="221"/>
        <v>D</v>
      </c>
      <c r="TC44" s="31"/>
      <c r="TD44" s="36" t="str">
        <f t="shared" ca="1" si="222"/>
        <v>Zu wenige Noten</v>
      </c>
      <c r="TE44" s="31"/>
      <c r="TF44" s="193" t="str">
        <f ca="1">IF(NOT(SJ44),INDEX(StdFehler[StdFehler],4),IF(SI44=$TF$4,$A$3,ROUND(AVERAGE(RZ44:SC44)/$TF$5,0)*$TF$5))</f>
        <v>Zu wenige Noten</v>
      </c>
      <c r="TH44" s="595" t="str">
        <f>IF(OR($TH$18=Stammdaten!$AX$20,$TH$18=""),Stammdaten!$AX$20,$TH$18)</f>
        <v>Disziplin</v>
      </c>
      <c r="TI44" s="33"/>
      <c r="TJ44" s="33" t="str">
        <f>IF(OR(Geschlecht[[#This Row],[Geschlecht (Skala)]]="",TH44="",TH44=Stammdaten!$AX$20),"",REPLACE(INDEX(StdDisziplinen[TabÜberschriftResultat],TH$3),FIND("XX",INDEX(StdDisziplinen[TabÜberschriftResultat],TH$3),1),2,Geschlecht[[#This Row],[Geschlecht (Skala)]]))</f>
        <v/>
      </c>
      <c r="TK44" s="596"/>
      <c r="TM44" s="37"/>
      <c r="TN44" s="40"/>
      <c r="TO44" s="587">
        <f>IF(TO$16,IF(TP$16=0.5,MROUND(SchwimmenResultat[[#This Row],[Resultat]],TP$16),ROUND(SchwimmenResultat[[#This Row],[Resultat]],TP$16)),ROUNDDOWN(SchwimmenResultat[[#This Row],[Resultat]],TP$16))</f>
        <v>0</v>
      </c>
      <c r="TP44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4" s="153" t="str">
        <f ca="1">IF(TP44="","",IF(OR(SchwimmenResultat[[#This Row],[Resultat]]=Stammdaten!$AX$22,SchwimmenResultat[[#This Row],[Resultat]]=Stammdaten!$AX$19),Stammdaten!$AX$19,IF(ISNA(INDEX(INDIRECT(TP44),MATCH(SchwimmenGerundet[[#This Row],[Rundung]],INDIRECT(TP44),TP$18))),IF(TP$18=-1,LARGE(INDIRECT(TP44),1),SMALL(INDIRECT(TP44),1)),INDEX(INDIRECT(TP44),MATCH(SchwimmenGerundet[[#This Row],[Rundung]],INDIRECT(TP44),TP$18)))))</f>
        <v/>
      </c>
      <c r="TR44" s="33" t="str">
        <f>IF(OR(TP44="",SchwimmenResultat[[#This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4" s="33"/>
      <c r="TT44" s="36" t="str">
        <f ca="1">IF(OR(TR44="",SchwimmenSkalawert[[#This Row],[Skala-Wert]]=Stammdaten!$AX$19),"",INDEX(INDIRECT(TR44),MATCH(SchwimmenSkalawert[[#This Row],[Skala-Wert]],INDIRECT(TP44),0)))</f>
        <v/>
      </c>
      <c r="TU44" s="36"/>
      <c r="TV44" s="190" t="str">
        <f>IF(ZwölfMinLaufHalleResultat[[#This Row],[Resultat]]=0,"",ZwölfMinLaufHalleResultat[[#This Row],[Resultat]])</f>
        <v/>
      </c>
      <c r="TW44" s="190"/>
      <c r="TX44" s="31" t="str">
        <f ca="1">ZwölfMinLaufHalleSkalawert[[#This Row],[Skala-Wert]]</f>
        <v/>
      </c>
      <c r="TZ44" s="31" t="str">
        <f ca="1">ZwölfMinLaufHalleNote[[#This Row],[Note]]</f>
        <v/>
      </c>
      <c r="UA44" s="31"/>
      <c r="UB44" s="190" t="str">
        <f>IF(ZwölfMinLaufimFreienResultat[[#This Row],[Resultat]]=0,"",ZwölfMinLaufimFreienResultat[[#This Row],[Resultat]])</f>
        <v/>
      </c>
      <c r="UC44" s="190"/>
      <c r="UD44" s="192" t="str">
        <f ca="1">ZwölfMinLaufimFreienSkalawert[[#This Row],[Skala-Wert]]</f>
        <v/>
      </c>
      <c r="UF44" s="31" t="str">
        <f ca="1">ZwölfMinLaufimFreienNote[[#This Row],[Note]]</f>
        <v/>
      </c>
      <c r="UG44" s="31"/>
      <c r="UH44" s="597"/>
      <c r="UI44" s="190"/>
      <c r="UJ44" s="587">
        <f>IF(UJ$16,IF(UK$16=0.5,MROUND(BeweglichkeitResultat[[#This Row],[Resultat]],UK$16),ROUND(BeweglichkeitResultat[[#This Row],[Resultat]],UK$16)),ROUNDDOWN(BeweglichkeitResultat[[#This Row],[Resultat]],UK$16))</f>
        <v>0</v>
      </c>
      <c r="UK44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4" s="192" t="str">
        <f ca="1">IF(UK44="","",IF(OR(BeweglichkeitResultat[[#This Row],[Resultat]]=Stammdaten!$AX$22,BeweglichkeitResultat[[#This Row],[Resultat]]=Stammdaten!$AX$19),Stammdaten!$AX$19,IF(ISNA(INDEX(INDIRECT(UK44),MATCH(BeweglichkeitGerundet[[#This Row],[Rundung]],INDIRECT(UK44),UK$18))),IF(UK$18=-1,LARGE(INDIRECT(UK44),1),SMALL(INDIRECT(UK44),1)),INDEX(INDIRECT(UK44),MATCH(BeweglichkeitGerundet[[#This Row],[Rundung]],INDIRECT(UK44),UK$18)))))</f>
        <v/>
      </c>
      <c r="UN44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4" s="36" t="str">
        <f ca="1">IF(OR(UK44="",BeweglichkeitSkalawert[[#This Row],[Skala-Wert]]=Stammdaten!$AX$19),"",INDEX(INDIRECT(UN44),MATCH(BeweglichkeitSkalawert[[#This Row],[Skala-Wert]],INDIRECT(UK44),0)))</f>
        <v/>
      </c>
      <c r="UP44" s="31"/>
      <c r="UQ44" s="597"/>
      <c r="UR44" s="190"/>
      <c r="US44" s="587">
        <f>IF(US$16,IF(UT$16=0.5,MROUND(RumpfkraftResultat[[#This Row],[Resultat]],UT$16),ROUND(RumpfkraftResultat[[#This Row],[Resultat]],UT$16)),ROUNDDOWN(RumpfkraftResultat[[#This Row],[Resultat]],UT$16))</f>
        <v>0</v>
      </c>
      <c r="UT44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4" s="192" t="str">
        <f ca="1">IF(UT44="","",IF(OR(RumpfkraftResultat[[#This Row],[Resultat]]=Stammdaten!$AX$22,RumpfkraftResultat[[#This Row],[Resultat]]=Stammdaten!$AX$19),Stammdaten!$AX$19,IF(ISNA(INDEX(INDIRECT(UT44),MATCH(RumpfkraftGerundet[[#This Row],[Rundung]],INDIRECT(UT44),UT$18))),IF(UT$18=-1,LARGE(INDIRECT(UT44),1),SMALL(INDIRECT(UT44),1)),INDEX(INDIRECT(UT44),MATCH(RumpfkraftGerundet[[#This Row],[Rundung]],INDIRECT(UT44),UT$18)))))</f>
        <v/>
      </c>
      <c r="UW44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4" s="36" t="str">
        <f ca="1">IF(OR(UT44="",RumpfkraftSkalawert[[#This Row],[Skala-Wert]]=Stammdaten!$AX$19),"",INDEX(INDIRECT(UW44),MATCH(RumpfkraftSkalawert[[#This Row],[Skala-Wert]],INDIRECT(UT44),0)))</f>
        <v/>
      </c>
      <c r="UY44" s="31"/>
      <c r="UZ44" s="190" t="str">
        <f>IF(SechzigmLaufResultat[[#This Row],[Resultat]]=0,"",SechzigmLaufResultat[[#This Row],[Resultat]])</f>
        <v/>
      </c>
      <c r="VA44" s="190"/>
      <c r="VB44" s="45" t="str">
        <f ca="1">SechzigmLaufSkalawert[[#This Row],[Skala-Wert]]</f>
        <v/>
      </c>
      <c r="VD44" s="31" t="str">
        <f ca="1">SechzigmLaufNote[[#This Row],[Note]]</f>
        <v/>
      </c>
      <c r="VE44" s="31"/>
      <c r="VF44" s="190" t="str">
        <f>IF(AchtzigmLaufResultat[[#This Row],[Resultat]]=0,"",AchtzigmLaufResultat[[#This Row],[Resultat]])</f>
        <v/>
      </c>
      <c r="VG44" s="190"/>
      <c r="VH44" s="45" t="str">
        <f ca="1">AchtzigmLaufSkalawert[[#This Row],[Skala-Wert]]</f>
        <v/>
      </c>
      <c r="VJ44" s="31" t="str">
        <f ca="1">AchtzigmLaufNote[[#This Row],[Note]]</f>
        <v/>
      </c>
      <c r="VK44" s="31"/>
      <c r="VL44" s="37"/>
      <c r="VM44" s="190"/>
      <c r="VN44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4" s="191" t="str">
        <f>IF(OR(Geschlecht[[#This Row],[Geschlecht (Skala)]]="",VL$16=""),"",MID(Geschlecht[[#This Row],[Geschlecht (Skala)]],1,1)&amp;MID(VL$16,1,1))</f>
        <v/>
      </c>
      <c r="VP44" s="190" t="str">
        <f>IF(OR(VO44="",KonditionsparcoursResultat[[#This Row],[Resultat]]=""),"",REPLACE(INDEX(StdDisziplinen[TabÜberschriftResultat],VL$3),FIND("X",INDEX(StdDisziplinen[TabÜberschriftResultat],VL$3),1),2,VO44))</f>
        <v/>
      </c>
      <c r="VQ44" s="192" t="str">
        <f ca="1">IF(VP44="","",IF(OR(KonditionsparcoursResultat[[#This Row],[Resultat]]=Stammdaten!$AX$22,KonditionsparcoursResultat[[#This Row],[Resultat]]=Stammdaten!$AX$19),Stammdaten!$AX$19,IF(ISNA(INDEX(INDIRECT(VP44),MATCH(KonditionsparcoursGerundet[[#This Row],[Rundung]],INDIRECT(VP44),VP$18))),IF(VP$18=-1,LARGE(INDIRECT(VP44),1),SMALL(INDIRECT(VP44),1)),INDEX(INDIRECT(VP44),MATCH(KonditionsparcoursGerundet[[#This Row],[Rundung]],INDIRECT(VP44),VP$18)))))</f>
        <v/>
      </c>
      <c r="VS44" s="18" t="str">
        <f ca="1">IF(KonditionsparcoursSkalawert[[#This Row],[Skala-Wert]]="","",REPLACE(INDEX(StdDisziplinen[TabÜberschriftNote],VL$3),FIND("X",INDEX(StdDisziplinen[TabÜberschriftNote],VL$3),1),2,VO44))</f>
        <v/>
      </c>
      <c r="VT44" s="31" t="str">
        <f ca="1">IF(OR(VS44="",KonditionsparcoursSkalawert[[#This Row],[Skala-Wert]]=Stammdaten!$AX$19),"",INDEX(INDIRECT(VS44),MATCH(KonditionsparcoursSkalawert[[#This Row],[Skala-Wert]],INDIRECT(VP44),0)))</f>
        <v/>
      </c>
      <c r="VU44" s="22"/>
    </row>
    <row r="45" spans="1:593" x14ac:dyDescent="0.3">
      <c r="A45" s="30">
        <v>27</v>
      </c>
      <c r="B45" s="589"/>
      <c r="C45" s="589"/>
      <c r="E45" s="591"/>
      <c r="G45" s="37"/>
      <c r="H45" s="190"/>
      <c r="I45" s="154">
        <f>IF(I$16,IF(J$16=0.5,MROUND(SechzigmLaufResultat[[#This Row],[Resultat]],J$16),ROUND(SechzigmLaufResultat[[#This Row],[Resultat]],J$16)),ROUNDDOWN(SechzigmLaufResultat[[#This Row],[Resultat]],J$16))</f>
        <v>0</v>
      </c>
      <c r="J45" s="191" t="str">
        <f>IF(OR(Geschlecht[[#This Row],[Geschlecht (Skala)]]="",G$16=""),"",MID(Geschlecht[[#This Row],[Geschlecht (Skala)]],1,1)&amp;MID(G$16,1,1))</f>
        <v/>
      </c>
      <c r="K45" s="190" t="str">
        <f>IF(OR(J45="",SechzigmLaufResultat[[#This Row],[Resultat]]=""),"",REPLACE(INDEX(StdDisziplinen[TabÜberschriftResultat],G$3),FIND("X",INDEX(StdDisziplinen[TabÜberschriftResultat],G$3),1),2,J45))</f>
        <v/>
      </c>
      <c r="L45" s="45" t="str">
        <f ca="1">IF(K45="","",IF(OR(SechzigmLaufResultat[[#This Row],[Resultat]]=Stammdaten!$AX$22,SechzigmLaufResultat[[#This Row],[Resultat]]=Stammdaten!$AX$19),Stammdaten!$AX$19,IF(ISNA(INDEX(INDIRECT(K45),MATCH(SechzigmLaufGerundet[[#This Row],[Rundung]],INDIRECT(K45),K$18))),IF(K$18=-1,LARGE(INDIRECT(K45),1),SMALL(INDIRECT(K45),1)),INDEX(INDIRECT(K45),MATCH(SechzigmLaufGerundet[[#This Row],[Rundung]],INDIRECT(K45),K$18)))))</f>
        <v/>
      </c>
      <c r="N45" s="18" t="str">
        <f ca="1">IF(SechzigmLaufSkalawert[[#This Row],[Skala-Wert]]="","",REPLACE(INDEX(StdDisziplinen[TabÜberschriftNote],G$3),FIND("X",INDEX(StdDisziplinen[TabÜberschriftNote],G$3),1),2,J45))</f>
        <v/>
      </c>
      <c r="O45" s="31" t="str">
        <f ca="1">IF(OR(N45="",SechzigmLaufSkalawert[[#This Row],[Skala-Wert]]=Stammdaten!$AX$19),"",INDEX(INDIRECT(N45),MATCH(SechzigmLaufSkalawert[[#This Row],[Skala-Wert]],INDIRECT(K45),0)))</f>
        <v/>
      </c>
      <c r="P45" s="31"/>
      <c r="Q45" s="37"/>
      <c r="R45" s="190"/>
      <c r="S45" s="154">
        <f>IF(S$16,IF(T$16=0.5,MROUND(AchtzigmLaufResultat[[#This Row],[Resultat]],T$16),ROUND(AchtzigmLaufResultat[[#This Row],[Resultat]],T$16)),ROUNDDOWN(AchtzigmLaufResultat[[#This Row],[Resultat]],T$16))</f>
        <v>0</v>
      </c>
      <c r="T45" s="191" t="str">
        <f>IF(OR(Geschlecht[[#This Row],[Geschlecht (Skala)]]="",Q$16=""),"",MID(Geschlecht[[#This Row],[Geschlecht (Skala)]],1,1)&amp;MID(Q$16,1,1))</f>
        <v/>
      </c>
      <c r="U45" s="190" t="str">
        <f>IF(OR(T45="",AchtzigmLaufResultat[[#This Row],[Resultat]]=""),"",REPLACE(INDEX(StdDisziplinen[TabÜberschriftResultat],Q$3),FIND("X",INDEX(StdDisziplinen[TabÜberschriftResultat],Q$3),1),2,T45))</f>
        <v/>
      </c>
      <c r="V45" s="45" t="str">
        <f ca="1">IF(U45="","",IF(OR(AchtzigmLaufResultat[[#This Row],[Resultat]]=Stammdaten!$AX$22,AchtzigmLaufResultat[[#This Row],[Resultat]]=Stammdaten!$AX$19),Stammdaten!$AX$19,IF(ISNA(INDEX(INDIRECT(U45),MATCH(AchtzigmLaufGerundet[[#This Row],[Rundung]],INDIRECT(U45),U$18))),IF(U$18=-1,LARGE(INDIRECT(U45),1),SMALL(INDIRECT(U45),1)),INDEX(INDIRECT(U45),MATCH(AchtzigmLaufGerundet[[#This Row],[Rundung]],INDIRECT(U45),U$18)))))</f>
        <v/>
      </c>
      <c r="X45" s="18" t="str">
        <f ca="1">IF(AchtzigmLaufSkalawert[[#This Row],[Skala-Wert]]="","",REPLACE(INDEX(StdDisziplinen[TabÜberschriftNote],Q$3),FIND("X",INDEX(StdDisziplinen[TabÜberschriftNote],Q$3),1),2,T45))</f>
        <v/>
      </c>
      <c r="Y45" s="31" t="str">
        <f ca="1">IF(OR(X45="",AchtzigmLaufSkalawert[[#This Row],[Skala-Wert]]=Stammdaten!$AX$19),"",INDEX(INDIRECT(X45),MATCH(AchtzigmLaufSkalawert[[#This Row],[Skala-Wert]],INDIRECT(U45),0)))</f>
        <v/>
      </c>
      <c r="Z45" s="31"/>
      <c r="AA45" s="37"/>
      <c r="AB45" s="190"/>
      <c r="AC45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5" s="191" t="str">
        <f>IF(OR(Geschlecht[[#This Row],[Geschlecht (Skala)]]="",AA$16=""),"",MID(Geschlecht[[#This Row],[Geschlecht (Skala)]],1,1)&amp;MID(AA$16,1,1))</f>
        <v/>
      </c>
      <c r="AE45" s="190" t="str">
        <f>IF(OR(AD45="",ZwölfMinLaufHalleResultat[[#This Row],[Resultat]]=""),"",REPLACE(INDEX(StdDisziplinen[TabÜberschriftResultat],AA$3),FIND("X",INDEX(StdDisziplinen[TabÜberschriftResultat],AA$3),1),2,AD45))</f>
        <v/>
      </c>
      <c r="AF45" s="31" t="str">
        <f ca="1">IF(AE45="","",IF(OR(ZwölfMinLaufHalleResultat[[#This Row],[Resultat]]=Stammdaten!$AX$22,ZwölfMinLaufHalleResultat[[#This Row],[Resultat]]=Stammdaten!$AX$19),Stammdaten!$AX$19,IF(ISNA(INDEX(INDIRECT(AE45),MATCH(ZwölfMinLaufHalleGerundet[[#This Row],[Rundung]],INDIRECT(AE45),AE$18))),IF(AE$18=-1,LARGE(INDIRECT(AE45),1),SMALL(INDIRECT(AE45),1)),INDEX(INDIRECT(AE45),MATCH(ZwölfMinLaufHalleGerundet[[#This Row],[Rundung]],INDIRECT(AE45),AE$18)))))</f>
        <v/>
      </c>
      <c r="AH45" s="18" t="str">
        <f ca="1">IF(ZwölfMinLaufHalleSkalawert[[#This Row],[Skala-Wert]]="","",REPLACE(INDEX(StdDisziplinen[TabÜberschriftNote],AA$3),FIND("X",INDEX(StdDisziplinen[TabÜberschriftNote],AA$3),1),2,AD45))</f>
        <v/>
      </c>
      <c r="AI45" s="31" t="str">
        <f ca="1">IF(OR(AH45="",ZwölfMinLaufHalleSkalawert[[#This Row],[Skala-Wert]]=Stammdaten!$AX$19),"",INDEX(INDIRECT(AH45),MATCH(ZwölfMinLaufHalleSkalawert[[#This Row],[Skala-Wert]],INDIRECT(AE45),0)))</f>
        <v/>
      </c>
      <c r="AJ45" s="31"/>
      <c r="AK45" s="597"/>
      <c r="AL45" s="190"/>
      <c r="AM45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5" s="191" t="str">
        <f>IF(OR(Geschlecht[[#This Row],[Geschlecht (Skala)]]="",AK$16=""),"",MID(Geschlecht[[#This Row],[Geschlecht (Skala)]],1,1)&amp;MID(AK$16,1,1))</f>
        <v/>
      </c>
      <c r="AO45" s="190" t="str">
        <f>IF(OR(AN45="",ZwölfMinLaufimFreienResultat[[#This Row],[Resultat]]=""),"",REPLACE(INDEX(StdDisziplinen[TabÜberschriftResultat],AK$3),FIND("X",INDEX(StdDisziplinen[TabÜberschriftResultat],AK$3),1),2,AN45))</f>
        <v/>
      </c>
      <c r="AP45" s="192" t="str">
        <f ca="1">IF(AO45="","",IF(OR(ZwölfMinLaufimFreienResultat[[#This Row],[Resultat]]=Stammdaten!$AX$22,ZwölfMinLaufimFreienResultat[[#This Row],[Resultat]]=Stammdaten!$AX$19),Stammdaten!$AX$19,IF(ISNA(INDEX(INDIRECT(AO45),MATCH(ZwölfMinLaufimFreienGerundet[[#This Row],[Rundung]],INDIRECT(AO45),AO$18))),IF(AO$18=-1,LARGE(INDIRECT(AO45),1),SMALL(INDIRECT(AO45),1)),INDEX(INDIRECT(AO45),MATCH(ZwölfMinLaufimFreienGerundet[[#This Row],[Rundung]],INDIRECT(AO45),AO$18)))))</f>
        <v/>
      </c>
      <c r="AR45" s="18" t="str">
        <f ca="1">IF(ZwölfMinLaufimFreienSkalawert[[#This Row],[Skala-Wert]]="","",REPLACE(INDEX(StdDisziplinen[TabÜberschriftNote],AK$3),FIND("X",INDEX(StdDisziplinen[TabÜberschriftNote],AK$3),1),2,AN45))</f>
        <v/>
      </c>
      <c r="AS45" s="31" t="str">
        <f ca="1">IF(OR(AR45="",ZwölfMinLaufimFreienSkalawert[[#This Row],[Skala-Wert]]=Stammdaten!$AX$19),"",INDEX(INDIRECT(AR45),MATCH(ZwölfMinLaufimFreienSkalawert[[#This Row],[Skala-Wert]],INDIRECT(AO45),0)))</f>
        <v/>
      </c>
      <c r="AT45" s="31"/>
      <c r="AU45" s="597"/>
      <c r="AV45" s="190"/>
      <c r="AW45" s="587">
        <f>IF(AW$16,IF(AX$16=0.5,MROUND(HochsprungResultat[[#This Row],[Resultat]],AX$16),ROUND(HochsprungResultat[[#This Row],[Resultat]],AX$16)),ROUNDDOWN(HochsprungResultat[[#This Row],[Resultat]],AX$16))</f>
        <v>0</v>
      </c>
      <c r="AX45" s="191" t="str">
        <f>IF(OR(Geschlecht[[#This Row],[Geschlecht (Skala)]]="",AU$16=""),"",MID(Geschlecht[[#This Row],[Geschlecht (Skala)]],1,1)&amp;MID(AU$16,1,1))</f>
        <v/>
      </c>
      <c r="AY45" s="190" t="str">
        <f>IF(OR(AX45="",HochsprungResultat[[#This Row],[Resultat]]=""),"",REPLACE(INDEX(StdDisziplinen[TabÜberschriftResultat],AU$3),FIND("X",INDEX(StdDisziplinen[TabÜberschriftResultat],AU$3),1),2,AX45))</f>
        <v/>
      </c>
      <c r="AZ45" s="192" t="str">
        <f ca="1">IF(AY45="","",IF(OR(HochsprungResultat[[#This Row],[Resultat]]=Stammdaten!$AX$22,HochsprungResultat[[#This Row],[Resultat]]=Stammdaten!$AX$19),Stammdaten!$AX$19,IF(ISNA(INDEX(INDIRECT(AY45),MATCH(HochsprungGerundet[[#This Row],[Rundung]],INDIRECT(AY45),AY$18))),IF(AY$18=-1,LARGE(INDIRECT(AY45),1),SMALL(INDIRECT(AY45),1)),INDEX(INDIRECT(AY45),MATCH(HochsprungGerundet[[#This Row],[Rundung]],INDIRECT(AY45),AY$18)))))</f>
        <v/>
      </c>
      <c r="BB45" s="18" t="str">
        <f ca="1">IF(HochsprungSkalawert[[#This Row],[Skala-Wert]]="","",REPLACE(INDEX(StdDisziplinen[TabÜberschriftNote],AU$3),FIND("X",INDEX(StdDisziplinen[TabÜberschriftNote],AU$3),1),2,AX45))</f>
        <v/>
      </c>
      <c r="BC45" s="31" t="str">
        <f ca="1">IF(OR(BB45="",HochsprungSkalawert[[#This Row],[Skala-Wert]]=Stammdaten!$AX$19),"",INDEX(INDIRECT(BB45),MATCH(HochsprungSkalawert[[#This Row],[Skala-Wert]],INDIRECT(AY45),0)))</f>
        <v/>
      </c>
      <c r="BD45" s="31"/>
      <c r="BE45" s="597"/>
      <c r="BF45" s="190"/>
      <c r="BG45" s="587">
        <f>IF(BG$16,IF(BH$16=0.5,MROUND(WeitsprungResultat[[#This Row],[Resultat]],BH$16),ROUND(WeitsprungResultat[[#This Row],[Resultat]],BH$16)),ROUNDDOWN(WeitsprungResultat[[#This Row],[Resultat]],BH$16))</f>
        <v>0</v>
      </c>
      <c r="BH45" s="191" t="str">
        <f>IF(OR(Geschlecht[[#This Row],[Geschlecht (Skala)]]="",BE$16=""),"",MID(Geschlecht[[#This Row],[Geschlecht (Skala)]],1,1)&amp;MID(BE$16,1,1))</f>
        <v/>
      </c>
      <c r="BI45" s="190" t="str">
        <f>IF(OR(BH45="",WeitsprungResultat[[#This Row],[Resultat]]=""),"",REPLACE(INDEX(StdDisziplinen[TabÜberschriftResultat],BE$3),FIND("X",INDEX(StdDisziplinen[TabÜberschriftResultat],BE$3),1),2,BH45))</f>
        <v/>
      </c>
      <c r="BJ45" s="192" t="str">
        <f ca="1">IF(BI45="","",IF(OR(WeitsprungResultat[[#This Row],[Resultat]]=Stammdaten!$AX$22,WeitsprungResultat[[#This Row],[Resultat]]=Stammdaten!$AX$19),Stammdaten!$AX$19,IF(ISNA(INDEX(INDIRECT(BI45),MATCH(WeitsprungGerundet[[#This Row],[Rundung]],INDIRECT(BI45),BI$18))),IF(BI$18=-1,LARGE(INDIRECT(BI45),1),SMALL(INDIRECT(BI45),1)),INDEX(INDIRECT(BI45),MATCH(WeitsprungGerundet[[#This Row],[Rundung]],INDIRECT(BI45),BI$18)))))</f>
        <v/>
      </c>
      <c r="BL45" s="18" t="str">
        <f ca="1">IF(WeitsprungSkalawert[[#This Row],[Skala-Wert]]="","",REPLACE(INDEX(StdDisziplinen[TabÜberschriftNote],BE$3),FIND("X",INDEX(StdDisziplinen[TabÜberschriftNote],BE$3),1),2,BH45))</f>
        <v/>
      </c>
      <c r="BM45" s="31" t="str">
        <f ca="1">IF(OR(BL45="",WeitsprungSkalawert[[#This Row],[Skala-Wert]]=Stammdaten!$AX$19),"",INDEX(INDIRECT(BL45),MATCH(WeitsprungSkalawert[[#This Row],[Skala-Wert]],INDIRECT(BI45),0)))</f>
        <v/>
      </c>
      <c r="BN45" s="31"/>
      <c r="BO45" s="37"/>
      <c r="BP45" s="190"/>
      <c r="BQ45" s="154">
        <f>IF(BQ$16,IF(BR$16=0.5,MROUND(BallwurfResultat[[#This Row],[Resultat]],BR$16),ROUND(BallwurfResultat[[#This Row],[Resultat]],BR$16)),ROUNDDOWN(BallwurfResultat[[#This Row],[Resultat]],BR$16))</f>
        <v>0</v>
      </c>
      <c r="BR45" s="191" t="str">
        <f>IF(OR(Geschlecht[[#This Row],[Geschlecht (Skala)]]="",BO$16=""),"",MID(Geschlecht[[#This Row],[Geschlecht (Skala)]],1,1)&amp;MID(BO$16,1,1))</f>
        <v/>
      </c>
      <c r="BS45" s="190" t="str">
        <f>IF(OR(BR45="",BallwurfResultat[[#This Row],[Resultat]]=""),"",REPLACE(INDEX(StdDisziplinen[TabÜberschriftResultat],BO$3),FIND("X",INDEX(StdDisziplinen[TabÜberschriftResultat],BO$3),1),2,BR45))</f>
        <v/>
      </c>
      <c r="BT45" s="45" t="str">
        <f ca="1">IF(BS45="","",IF(OR(BallwurfResultat[[#This Row],[Resultat]]=Stammdaten!$AX$22,BallwurfResultat[[#This Row],[Resultat]]=Stammdaten!$AX$19),Stammdaten!$AX$19,IF(ISNA(INDEX(INDIRECT(BS45),MATCH(BallwurfGerundet[[#This Row],[Rundung]],INDIRECT(BS45),BS$18))),IF(BS$18=-1,LARGE(INDIRECT(BS45),1),SMALL(INDIRECT(BS45),1)),INDEX(INDIRECT(BS45),MATCH(BallwurfGerundet[[#This Row],[Rundung]],INDIRECT(BS45),BS$18)))))</f>
        <v/>
      </c>
      <c r="BV45" s="18" t="str">
        <f ca="1">IF(BallwurfSkalawert[[#This Row],[Skala-Wert]]="","",REPLACE(INDEX(StdDisziplinen[TabÜberschriftNote],BO$3),FIND("X",INDEX(StdDisziplinen[TabÜberschriftNote],BO$3),1),2,BR45))</f>
        <v/>
      </c>
      <c r="BW45" s="31" t="str">
        <f ca="1">IF(OR(BV45="",BallwurfSkalawert[[#This Row],[Skala-Wert]]=Stammdaten!$AX$19),"",INDEX(INDIRECT(BV45),MATCH(BallwurfSkalawert[[#This Row],[Skala-Wert]],INDIRECT(BS45),0)))</f>
        <v/>
      </c>
      <c r="BX45" s="31"/>
      <c r="BY45" s="598"/>
      <c r="BZ45" s="190"/>
      <c r="CA45" s="154">
        <f>IF(CA$16,IF(CB$16=0.5,MROUND(KugelstossenResultat[[#This Row],[Resultat]],CB$16),ROUND(KugelstossenResultat[[#This Row],[Resultat]],CB$16)),ROUNDDOWN(KugelstossenResultat[[#This Row],[Resultat]],CB$16))</f>
        <v>0</v>
      </c>
      <c r="CB45" s="191" t="str">
        <f>IF(OR(Geschlecht[[#This Row],[Geschlecht (Skala)]]="",BY$16=""),"",MID(Geschlecht[[#This Row],[Geschlecht (Skala)]],1,1)&amp;MID(BY$16,1,1))</f>
        <v/>
      </c>
      <c r="CC45" s="190" t="str">
        <f>IF(OR(CB45="",KugelstossenResultat[[#This Row],[Resultat]]=""),"",REPLACE(INDEX(StdDisziplinen[TabÜberschriftResultat],BY$3),FIND("X",INDEX(StdDisziplinen[TabÜberschriftResultat],BY$3),1),2,CB45))</f>
        <v/>
      </c>
      <c r="CD45" s="45" t="str">
        <f ca="1">IF(CC45="","",IF(OR(KugelstossenResultat[[#This Row],[Resultat]]=Stammdaten!$AX$22,KugelstossenResultat[[#This Row],[Resultat]]=Stammdaten!$AX$19),Stammdaten!$AX$19,IF(ISNA(INDEX(INDIRECT(CC45),MATCH(KugelstossenGerundet[[#This Row],[Rundung]],INDIRECT(CC45),CC$18))),IF(CC$18=-1,LARGE(INDIRECT(CC45),1),SMALL(INDIRECT(CC45),1)),INDEX(INDIRECT(CC45),MATCH(KugelstossenGerundet[[#This Row],[Rundung]],INDIRECT(CC45),CC$18)))))</f>
        <v/>
      </c>
      <c r="CF45" s="18" t="str">
        <f ca="1">IF(KugelstossenSkalawert[[#This Row],[Skala-Wert]]="","",REPLACE(INDEX(StdDisziplinen[TabÜberschriftNote],BY$3),FIND("X",INDEX(StdDisziplinen[TabÜberschriftNote],BY$3),1),2,CB45))</f>
        <v/>
      </c>
      <c r="CG45" s="31" t="str">
        <f ca="1">IF(OR(CF45="",KugelstossenSkalawert[[#This Row],[Skala-Wert]]=Stammdaten!$AX$19),"",INDEX(INDIRECT(CF45),MATCH(KugelstossenSkalawert[[#This Row],[Skala-Wert]],INDIRECT(CC45),0)))</f>
        <v/>
      </c>
      <c r="CH45" s="31"/>
      <c r="CI45" s="37"/>
      <c r="CJ45" s="190"/>
      <c r="CK45" s="154">
        <f>IF(CK$16,IF(CL$16=0.5,MROUND(SpeerwurfResultat[[#This Row],[Resultat]],CL$16),ROUND(SpeerwurfResultat[[#This Row],[Resultat]],CL$16)),ROUNDDOWN(SpeerwurfResultat[[#This Row],[Resultat]],CL$16))</f>
        <v>0</v>
      </c>
      <c r="CL45" s="191" t="str">
        <f>IF(OR(Geschlecht[[#This Row],[Geschlecht (Skala)]]="",CI$16=""),"",MID(Geschlecht[[#This Row],[Geschlecht (Skala)]],1,1)&amp;MID(CI$16,1,1))</f>
        <v/>
      </c>
      <c r="CM45" s="190" t="str">
        <f>IF(OR(CL45="",SpeerwurfResultat[[#This Row],[Resultat]]=""),"",REPLACE(INDEX(StdDisziplinen[TabÜberschriftResultat],CI$3),FIND("X",INDEX(StdDisziplinen[TabÜberschriftResultat],CI$3),1),2,CL45))</f>
        <v/>
      </c>
      <c r="CN45" s="45" t="str">
        <f ca="1">IF(CM45="","",IF(OR(SpeerwurfResultat[[#This Row],[Resultat]]=Stammdaten!$AX$22,SpeerwurfResultat[[#This Row],[Resultat]]=Stammdaten!$AX$19),Stammdaten!$AX$19,IF(ISNA(INDEX(INDIRECT(CM45),MATCH(SpeerwurfGerundet[[#This Row],[Rundung]],INDIRECT(CM45),CM$18))),IF(CM$18=-1,LARGE(INDIRECT(CM45),1),SMALL(INDIRECT(CM45),1)),INDEX(INDIRECT(CM45),MATCH(SpeerwurfGerundet[[#This Row],[Rundung]],INDIRECT(CM45),CM$18)))))</f>
        <v/>
      </c>
      <c r="CP45" s="18" t="str">
        <f ca="1">IF(SpeerwurfSkalawert[[#This Row],[Skala-Wert]]="","",REPLACE(INDEX(StdDisziplinen[TabÜberschriftNote],CI$3),FIND("X",INDEX(StdDisziplinen[TabÜberschriftNote],CI$3),1),2,CL45))</f>
        <v/>
      </c>
      <c r="CQ45" s="31" t="str">
        <f ca="1">IF(OR(CP45="",SpeerwurfSkalawert[[#This Row],[Skala-Wert]]=Stammdaten!$AX$19),"",INDEX(INDIRECT(CP45),MATCH(SpeerwurfSkalawert[[#This Row],[Skala-Wert]],INDIRECT(CM45),0)))</f>
        <v/>
      </c>
      <c r="CR45" s="31"/>
      <c r="CS45" s="31" t="str">
        <f t="shared" ca="1" si="50"/>
        <v/>
      </c>
      <c r="CT45" s="31" t="str">
        <f t="shared" ca="1" si="50"/>
        <v/>
      </c>
      <c r="CU45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Row],[Skala-Wert]])&gt;0,MAX(CS45:CT45),99))</f>
        <v>Keine Note</v>
      </c>
      <c r="CV45" s="202" t="str">
        <f t="shared" ca="1" si="51"/>
        <v/>
      </c>
      <c r="CW45" s="202" t="str">
        <f ca="1">IF(CV45=$A$2,CS$10&amp;Stammdaten!$AX$25,IF(CU45=INDEX(StdFehler[],3),CS$10&amp;Stammdaten!$AX$27,INDEX(INDIRECT($B$4),MATCH(CV45,INDIRECT($B$5),0))))</f>
        <v>Sprintdisziplinen nicht durchgeführt</v>
      </c>
      <c r="CX45" s="202" t="str">
        <f ca="1">IFERROR(INDEX(INDIRECT(CX$12),MATCH(CV45,StdDisziplinen[ID],0)),"")</f>
        <v/>
      </c>
      <c r="CY45" s="202" t="e">
        <f t="shared" ca="1" si="52"/>
        <v>#N/A</v>
      </c>
      <c r="CZ45" s="202" t="e">
        <f t="shared" ca="1" si="53"/>
        <v>#N/A</v>
      </c>
      <c r="DA45" s="98" t="str">
        <f t="shared" ca="1" si="223"/>
        <v/>
      </c>
      <c r="DB45" s="202" t="e">
        <f t="shared" ca="1" si="54"/>
        <v>#N/A</v>
      </c>
      <c r="DC45" s="202" t="str">
        <f t="shared" ca="1" si="55"/>
        <v/>
      </c>
      <c r="DD45" s="31" t="str">
        <f t="shared" ca="1" si="56"/>
        <v/>
      </c>
      <c r="DE45" s="31" t="str">
        <f t="shared" ca="1" si="56"/>
        <v/>
      </c>
      <c r="DF45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Row],[Skala-Wert]])&gt;0,MAX(DD45:DE45),99))</f>
        <v>Keine Note</v>
      </c>
      <c r="DG45" s="202" t="str">
        <f t="shared" ca="1" si="57"/>
        <v/>
      </c>
      <c r="DH45" s="202" t="str">
        <f ca="1">IF(DG45=$A$2,DD$10&amp;Stammdaten!$AX$25,IF(DF45=INDEX(StdFehler[],3),DD$10&amp;Stammdaten!$AX$27,INDEX(INDIRECT($B$4),MATCH(DG45,INDIRECT($B$5),0))))</f>
        <v>Ausdauerdisziplinen nicht durchgeführt</v>
      </c>
      <c r="DI45" s="202" t="str">
        <f ca="1">IFERROR(INDEX(INDIRECT(DI$12),MATCH(DG45,StdDisziplinen[ID],0)),"")</f>
        <v/>
      </c>
      <c r="DJ45" s="202" t="e">
        <f t="shared" ca="1" si="58"/>
        <v>#N/A</v>
      </c>
      <c r="DK45" s="202" t="e">
        <f t="shared" ca="1" si="59"/>
        <v>#N/A</v>
      </c>
      <c r="DL45" s="96" t="str">
        <f t="shared" ca="1" si="60"/>
        <v/>
      </c>
      <c r="DM45" s="202" t="e">
        <f t="shared" ca="1" si="61"/>
        <v>#N/A</v>
      </c>
      <c r="DN45" s="202" t="str">
        <f t="shared" ca="1" si="62"/>
        <v/>
      </c>
      <c r="DO45" s="31" t="str">
        <f t="shared" ca="1" si="63"/>
        <v/>
      </c>
      <c r="DP45" s="31" t="str">
        <f t="shared" ca="1" si="63"/>
        <v/>
      </c>
      <c r="DQ45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Row],[Skala-Wert]])&gt;0,MAX(DO45:DP45),99))</f>
        <v>Keine Note</v>
      </c>
      <c r="DR45" s="202" t="str">
        <f t="shared" ca="1" si="64"/>
        <v/>
      </c>
      <c r="DS45" s="202" t="str">
        <f ca="1">IF(DR45=$A$2,DO$10&amp;Stammdaten!$AX$25,IF(DQ45=INDEX(StdFehler[],3),DO$10&amp;Stammdaten!$AX$27,INDEX(INDIRECT($B$4),MATCH(DR45,INDIRECT($B$5),0))))</f>
        <v>Sprungdisziplinen nicht durchgeführt</v>
      </c>
      <c r="DT45" s="202" t="str">
        <f ca="1">IFERROR(INDEX(INDIRECT(DT$12),MATCH(DR45,StdDisziplinen[ID],0)),"")</f>
        <v/>
      </c>
      <c r="DU45" s="202" t="e">
        <f t="shared" ca="1" si="65"/>
        <v>#N/A</v>
      </c>
      <c r="DV45" s="202" t="e">
        <f t="shared" ca="1" si="66"/>
        <v>#N/A</v>
      </c>
      <c r="DW45" s="202" t="str">
        <f t="shared" ca="1" si="67"/>
        <v/>
      </c>
      <c r="DX45" s="202" t="e">
        <f t="shared" ca="1" si="68"/>
        <v>#N/A</v>
      </c>
      <c r="DY45" s="202" t="str">
        <f t="shared" ca="1" si="69"/>
        <v/>
      </c>
      <c r="DZ45" s="31" t="str">
        <f ca="1">IF(BallwurfSkalawert[[#This Row],[Skala-Wert]]=$A$3,$A$2,IF(ISNUMBER(BallwurfSkalawert[[#This Row],[Skala-Wert]]),BallwurfNote[[#This Row],[Note]],"!"))</f>
        <v>!</v>
      </c>
      <c r="EA45" s="31" t="str">
        <f ca="1">IF(KugelstossenSkalawert[[#This Row],[Skala-Wert]]=$A$3,$A$2,IF(ISNUMBER(KugelstossenSkalawert[[#This Row],[Skala-Wert]]),KugelstossenNote[[#This Row],[Note]],"!"))</f>
        <v>!</v>
      </c>
      <c r="EB45" s="31" t="str">
        <f ca="1">IF(SpeerwurfSkalawert[[#This Row],[Skala-Wert]]=$A$3,$A$2,IF(ISNUMBER(SpeerwurfSkalawert[[#This Row],[Skala-Wert]]),SpeerwurfNote[[#This Row],[Note]],"!"))</f>
        <v>!</v>
      </c>
      <c r="EC45" s="95" t="str">
        <f ca="1">IF(ED45&gt;0,MAX(DZ45:EB45),IF(EE45&gt;0,99,INDEX(StdFehler[StdFehler],3)))</f>
        <v>Keine Note</v>
      </c>
      <c r="ED45" s="202">
        <f t="shared" ca="1" si="70"/>
        <v>0</v>
      </c>
      <c r="EE45" s="202">
        <f t="shared" ca="1" si="71"/>
        <v>0</v>
      </c>
      <c r="EF45" s="202" t="str">
        <f t="shared" ca="1" si="72"/>
        <v/>
      </c>
      <c r="EG45" s="202" t="str">
        <f ca="1">IF(EF45=$A$2,DZ$10&amp;Stammdaten!$AX$25,IF(EC45=INDEX(StdFehler[],3),DZ$10&amp;Stammdaten!$AX$27,INDEX(INDIRECT($B$4),MATCH(EF45,INDIRECT($B$5),0))))</f>
        <v>Wurfdisziplinen nicht durchgeführt</v>
      </c>
      <c r="EH45" s="202" t="str">
        <f ca="1">IFERROR(INDEX(INDIRECT(EH$12),MATCH(EF45,StdDisziplinen[ID],0)),"")</f>
        <v/>
      </c>
      <c r="EI45" s="202" t="e">
        <f t="shared" ca="1" si="73"/>
        <v>#N/A</v>
      </c>
      <c r="EJ45" s="202" t="e">
        <f t="shared" ca="1" si="74"/>
        <v>#N/A</v>
      </c>
      <c r="EK45" s="98" t="str">
        <f t="shared" ca="1" si="75"/>
        <v/>
      </c>
      <c r="EL45" s="202" t="e">
        <f t="shared" ca="1" si="76"/>
        <v>#N/A</v>
      </c>
      <c r="EM45" s="202" t="str">
        <f t="shared" ca="1" si="77"/>
        <v/>
      </c>
      <c r="EN45" s="200">
        <f t="shared" ca="1" si="1"/>
        <v>0</v>
      </c>
      <c r="EO45" s="202">
        <f t="shared" ca="1" si="78"/>
        <v>0</v>
      </c>
      <c r="EP45" s="96">
        <f t="shared" ca="1" si="2"/>
        <v>0</v>
      </c>
      <c r="EQ45" s="96">
        <f t="shared" ca="1" si="3"/>
        <v>0</v>
      </c>
      <c r="ER45" s="96">
        <f t="shared" ca="1" si="4"/>
        <v>0</v>
      </c>
      <c r="ES45" s="96">
        <f t="shared" ca="1" si="5"/>
        <v>0</v>
      </c>
      <c r="ET45" s="202">
        <f t="shared" ca="1" si="79"/>
        <v>0</v>
      </c>
      <c r="EU45" s="202" t="str">
        <f ca="1">IF($EO45=$FA$4,Stammdaten!$AX$19,IF(COUNTIF($EP45:$ES45,0)&lt;&gt;0,INDEX(StdFehler[StdFehler],4),ROUND(SUM($ET45/$EN45)/$FC$4,0)*$FC$4))</f>
        <v>Zu wenige Noten</v>
      </c>
      <c r="EV45" s="202" t="str">
        <f t="shared" ca="1" si="6"/>
        <v>Zu wenige Noten</v>
      </c>
      <c r="EW45" s="202" t="str">
        <f t="shared" ca="1" si="80"/>
        <v>Zu wenige Noten</v>
      </c>
      <c r="EX45" s="202" t="str">
        <f t="shared" ca="1" si="80"/>
        <v>Zu wenige Noten</v>
      </c>
      <c r="EY45" s="202" t="str">
        <f t="shared" ca="1" si="80"/>
        <v>Zu wenige Noten</v>
      </c>
      <c r="EZ45" s="202" t="str">
        <f t="shared" ca="1" si="81"/>
        <v>Zu wenige Noten</v>
      </c>
      <c r="FA45" s="202" t="str">
        <f t="shared" ca="1" si="82"/>
        <v>Zu wenige Noten</v>
      </c>
      <c r="FB45" s="31"/>
      <c r="FC45" s="56" t="str">
        <f t="shared" ca="1" si="83"/>
        <v>Zu wenige Noten</v>
      </c>
      <c r="FD45" s="31"/>
      <c r="FE45" s="597"/>
      <c r="FF45" s="190"/>
      <c r="FJ45" s="31"/>
      <c r="FK45" s="597"/>
      <c r="FL45" s="190"/>
      <c r="FP45" s="31"/>
      <c r="FQ45" s="597"/>
      <c r="FR45" s="190"/>
      <c r="FV45" s="31"/>
      <c r="FW45" s="597"/>
      <c r="FX45" s="190"/>
      <c r="GB45" s="31"/>
      <c r="GC45" s="597"/>
      <c r="GD45" s="190"/>
      <c r="GF45" s="154"/>
      <c r="GH45" s="31"/>
      <c r="GI45" s="597"/>
      <c r="GJ45" s="190"/>
      <c r="GN45" s="45"/>
      <c r="GO45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5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5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5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5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5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5" s="202">
        <f t="shared" si="7"/>
        <v>0</v>
      </c>
      <c r="GV45" s="202">
        <f t="shared" si="8"/>
        <v>0</v>
      </c>
      <c r="GW45" s="202">
        <f t="shared" si="84"/>
        <v>0</v>
      </c>
      <c r="GX45" s="200" t="str">
        <f t="shared" si="85"/>
        <v>!</v>
      </c>
      <c r="GY45" s="200" t="str">
        <f t="shared" si="9"/>
        <v>!</v>
      </c>
      <c r="GZ45" s="200" t="str">
        <f t="shared" si="10"/>
        <v>!</v>
      </c>
      <c r="HA45" s="244" t="str">
        <f t="shared" si="86"/>
        <v>nd</v>
      </c>
      <c r="HB45" s="244" t="str">
        <f t="shared" si="87"/>
        <v>nd</v>
      </c>
      <c r="HC45" s="244" t="str">
        <f t="shared" si="88"/>
        <v>nd</v>
      </c>
      <c r="HD45" s="244" t="str">
        <f t="shared" si="89"/>
        <v>nd</v>
      </c>
      <c r="HE45" s="244" t="str">
        <f t="shared" si="90"/>
        <v>nd</v>
      </c>
      <c r="HF45" s="244" t="str">
        <f t="shared" si="91"/>
        <v>nd</v>
      </c>
      <c r="HG45" s="202" t="b">
        <f t="shared" si="92"/>
        <v>0</v>
      </c>
      <c r="HH45" s="202">
        <f t="shared" si="93"/>
        <v>1</v>
      </c>
      <c r="HI45" s="202">
        <f t="shared" si="94"/>
        <v>0</v>
      </c>
      <c r="HJ45" s="200" t="str">
        <f t="shared" si="95"/>
        <v/>
      </c>
      <c r="HK45" s="200" t="str">
        <f t="shared" si="96"/>
        <v/>
      </c>
      <c r="HL45" s="200">
        <f t="shared" si="97"/>
        <v>0</v>
      </c>
      <c r="HM45" s="202" t="str">
        <f t="shared" si="98"/>
        <v/>
      </c>
      <c r="HN45" s="200" t="str">
        <f t="shared" si="99"/>
        <v/>
      </c>
      <c r="HO45" s="200" t="str">
        <f t="shared" si="100"/>
        <v/>
      </c>
      <c r="HP45" s="200" t="str">
        <f t="shared" si="101"/>
        <v/>
      </c>
      <c r="HQ45" s="242" t="str">
        <f t="shared" si="102"/>
        <v/>
      </c>
      <c r="HR45" s="242" t="str">
        <f t="shared" si="103"/>
        <v/>
      </c>
      <c r="HS45" s="242" t="str">
        <f t="shared" si="104"/>
        <v/>
      </c>
      <c r="HT45" s="242" t="str">
        <f t="shared" ca="1" si="105"/>
        <v>Erstes Gerät</v>
      </c>
      <c r="HU45" s="242" t="str">
        <f ca="1">IF(HT45=$HS$12,Stammdaten!$AY$27,IF(HW45=$A$2,TRIM(Stammdaten!$AX$25),""))</f>
        <v>nicht durchgeführt</v>
      </c>
      <c r="HV45" s="242" t="str">
        <f t="shared" ca="1" si="106"/>
        <v/>
      </c>
      <c r="HW45" s="277" t="str">
        <f t="shared" si="11"/>
        <v/>
      </c>
      <c r="HX45" s="202" t="str">
        <f t="shared" si="107"/>
        <v/>
      </c>
      <c r="HY45" s="202" t="str">
        <f t="shared" ca="1" si="108"/>
        <v/>
      </c>
      <c r="HZ45" s="202" t="str">
        <f t="shared" ca="1" si="109"/>
        <v>StdDisziplinen[MaxTextSt]</v>
      </c>
      <c r="IA45" s="202" t="str">
        <f t="shared" ca="1" si="12"/>
        <v/>
      </c>
      <c r="IB45" s="202" t="b">
        <f t="shared" si="110"/>
        <v>0</v>
      </c>
      <c r="IC45" s="202" t="str">
        <f t="shared" si="111"/>
        <v/>
      </c>
      <c r="ID45" s="202" t="str">
        <f t="shared" si="112"/>
        <v/>
      </c>
      <c r="IE45" s="202" t="str">
        <f t="shared" si="113"/>
        <v/>
      </c>
      <c r="IF45" s="202" t="str">
        <f t="shared" si="114"/>
        <v/>
      </c>
      <c r="IG45" s="242" t="str">
        <f t="shared" si="115"/>
        <v/>
      </c>
      <c r="IH45" s="242" t="str">
        <f t="shared" si="116"/>
        <v/>
      </c>
      <c r="II45" s="242" t="str">
        <f t="shared" ca="1" si="13"/>
        <v>Zweites Gerät</v>
      </c>
      <c r="IJ45" s="242" t="str">
        <f ca="1">IF(II45=$IH$12,Stammdaten!$AY$27,IF(IL45=$A$2,TRIM(Stammdaten!$AX$25),""))</f>
        <v>nicht durchgeführt</v>
      </c>
      <c r="IK45" s="242" t="str">
        <f t="shared" ca="1" si="117"/>
        <v/>
      </c>
      <c r="IL45" s="200" t="str">
        <f t="shared" si="14"/>
        <v/>
      </c>
      <c r="IM45" s="202" t="str">
        <f t="shared" si="118"/>
        <v/>
      </c>
      <c r="IN45" s="202" t="str">
        <f t="shared" ca="1" si="119"/>
        <v/>
      </c>
      <c r="IO45" s="202" t="str">
        <f t="shared" ca="1" si="120"/>
        <v>StdDisziplinen[MaxTextSt]</v>
      </c>
      <c r="IP45" s="202" t="str">
        <f t="shared" ca="1" si="121"/>
        <v/>
      </c>
      <c r="IQ45" s="202" t="b">
        <f t="shared" si="122"/>
        <v>0</v>
      </c>
      <c r="IR45" s="242" t="str">
        <f t="shared" ca="1" si="15"/>
        <v>Drittes Gerät</v>
      </c>
      <c r="IS45" s="242" t="str">
        <f ca="1">IF(IR45=$IR$12,MID(Stammdaten!$AX$27,2,LEN(Stammdaten!$AX$27)),IF(IU45=$A$2,TRIM(Stammdaten!$AX$25),""))</f>
        <v>nicht durchgeführt</v>
      </c>
      <c r="IT45" s="242" t="str">
        <f t="shared" ca="1" si="16"/>
        <v/>
      </c>
      <c r="IU45" s="200" t="str">
        <f t="shared" si="17"/>
        <v/>
      </c>
      <c r="IV45" s="202" t="str">
        <f t="shared" si="123"/>
        <v/>
      </c>
      <c r="IW45" s="202" t="str">
        <f t="shared" ca="1" si="124"/>
        <v/>
      </c>
      <c r="IX45" s="202" t="str">
        <f t="shared" ca="1" si="125"/>
        <v>StdDisziplinen[MaxTextSt]</v>
      </c>
      <c r="IY45" s="202" t="str">
        <f t="shared" ca="1" si="18"/>
        <v/>
      </c>
      <c r="IZ45" s="200" t="str">
        <f>IF(NOT(GW45),INDEX(StdFehler[StdFehler],4),IF(COUNTIF(GX45:GZ45,$A$2)&gt;=$IZ$4,$A$3,SUM(GX45:GZ45)))</f>
        <v>Zu wenige Noten</v>
      </c>
      <c r="JA45" s="31"/>
      <c r="JB45" s="587" t="e">
        <f t="shared" si="19"/>
        <v>#VALUE!</v>
      </c>
      <c r="JC45" s="191" t="str">
        <f>IF(OR(Geschlecht[[#This Row],[Geschlecht (Skala)]]="",IZ45=""),"",MID(Geschlecht[[#This Row],[Geschlecht (Skala)]],1,1)&amp;MID($FE$16,1,1))</f>
        <v/>
      </c>
      <c r="JD45" s="190" t="str">
        <f>IF(OR(JC45="",IZ45=""),"",REPLACE(INDEX(StdDisziplinen[TabÜberschriftResultat],$FE$3),FIND("X",INDEX(StdDisziplinen[TabÜberschriftResultat],$FE$3),1),2,JC45))</f>
        <v/>
      </c>
      <c r="JE45" s="192" t="str">
        <f ca="1">IF(OR(JD45="",IZ45=Stammdaten!$AZ$5),"",IF(OR(IZ45=Stammdaten!$AX$22,IZ45=Stammdaten!$AX$19),Stammdaten!$AX$19,IF(ISNA(INDEX(INDIRECT(JD45),MATCH(GeräteturnenGerundet[[#This Row],[Rundung]],INDIRECT(JD45),$JD$16))),IF($JD$16=-1,LARGE(INDIRECT(JD45),1),SMALL(INDIRECT(JD45),1)),INDEX(INDIRECT(JD45),MATCH(GeräteturnenGerundet[[#This Row],[Rundung]],INDIRECT(JD45),$JD$16)))))</f>
        <v/>
      </c>
      <c r="JG45" s="18" t="str">
        <f ca="1">IF(GeräteturnenSkalawert[[#This Row],[Skala-Wert]]="","",REPLACE(INDEX(StdDisziplinen[TabÜberschriftNote],$FE$3),FIND("X",INDEX(StdDisziplinen[TabÜberschriftNote],$FE$3),1),2,JC45))</f>
        <v/>
      </c>
      <c r="JH45" s="45" t="str">
        <f ca="1">IF(OR(JG45="",GeräteturnenSkalawert[[#This Row],[Skala-Wert]]=Stammdaten!$AX$19),"",INDEX(INDIRECT(JG45),MATCH(GeräteturnenSkalawert[[#This Row],[Skala-Wert]],INDIRECT(JD45),0)))</f>
        <v/>
      </c>
      <c r="JI45" s="31"/>
      <c r="JJ45" s="597"/>
      <c r="JK45" s="190"/>
      <c r="JL45" s="587">
        <f>IF(JL$16,IF(JM$16=0.5,MROUND(ParkourResultat[[#This Row],[Resultat]],JM$16),ROUND(ParkourResultat[[#This Row],[Resultat]],JM$16)),ROUNDDOWN(ParkourResultat[[#This Row],[Resultat]],JM$16))</f>
        <v>0</v>
      </c>
      <c r="JM45" s="191" t="str">
        <f>IF(OR(Geschlecht[[#This Row],[Geschlecht (Skala)]]="",JJ$16=""),"",MID(Geschlecht[[#This Row],[Geschlecht (Skala)]],1,1)&amp;MID(JJ$16,1,1))</f>
        <v/>
      </c>
      <c r="JN45" s="190" t="str">
        <f>IF(OR(JM45="",ParkourResultat[[#This Row],[Resultat]]=""),"",REPLACE(INDEX(StdDisziplinen[TabÜberschriftResultat],JJ$3),FIND("X",INDEX(StdDisziplinen[TabÜberschriftResultat],JJ$3),1),2,JM45))</f>
        <v/>
      </c>
      <c r="JO45" s="192" t="str">
        <f ca="1">IF(JN45="","",IF(OR(ParkourResultat[[#This Row],[Resultat]]=Stammdaten!$AX$22,ParkourResultat[[#This Row],[Resultat]]=Stammdaten!$AX$19),Stammdaten!$AX$19,IF(ISNA(INDEX(INDIRECT(JN45),MATCH(ParkourGerundet[[#This Row],[Rundung]],INDIRECT(JN45),JN$18))),IF(JN$18=-1,LARGE(INDIRECT(JN45),1),SMALL(INDIRECT(JN45),1)),INDEX(INDIRECT(JN45),MATCH(ParkourGerundet[[#This Row],[Rundung]],INDIRECT(JN45),JN$18)))))</f>
        <v/>
      </c>
      <c r="JQ45" s="18" t="str">
        <f ca="1">IF(ParkourSkalawert[[#This Row],[Skala-Wert]]="","",REPLACE(INDEX(StdDisziplinen[TabÜberschriftNote],JJ$3),FIND("X",INDEX(StdDisziplinen[TabÜberschriftNote],JJ$3),1),2,JM45))</f>
        <v/>
      </c>
      <c r="JR45" s="31" t="str">
        <f ca="1">IF(OR(JQ45="",ParkourSkalawert[[#This Row],[Skala-Wert]]=Stammdaten!$AX$19),"",INDEX(INDIRECT(JQ45),MATCH(ParkourSkalawert[[#This Row],[Skala-Wert]],INDIRECT(JN45),0)))</f>
        <v/>
      </c>
      <c r="JS45" s="96"/>
      <c r="JT45" s="47" t="str">
        <f ca="1">IF(OR(ISNUMBER(ParkourSkalawert[[#This Row],[Skala-Wert]]),ParkourSkalawert[[#This Row],[Skala-Wert]]=$A$3),INDEX(INDIRECT($JU$1),MATCH($JJ$3,INDIRECT($B$5),0)),"")</f>
        <v/>
      </c>
      <c r="JU45" s="200" t="str">
        <f t="shared" ca="1" si="126"/>
        <v>StdDisziplinen[MaxTextSt]</v>
      </c>
      <c r="JV45" s="200" t="str">
        <f t="shared" ca="1" si="127"/>
        <v/>
      </c>
      <c r="JW45" s="98">
        <f ca="1">IF(GeräteturnenSkalawert[[#This Row],[Skala-Wert]]=$A$3,$A$2,IF(GeräteturnenNote[[#This Row],[Note]]="",0,GeräteturnenNote[[#This Row],[Note]]))</f>
        <v>0</v>
      </c>
      <c r="JX45" s="96">
        <f ca="1">IF(ParkourSkalawert[[#This Row],[Skala-Wert]]=$A$3,$A$2,IF(ParkourNote[[#This Row],[Note]]="",0,ParkourNote[[#This Row],[Note]]))</f>
        <v>0</v>
      </c>
      <c r="JY45" s="200">
        <f t="shared" ca="1" si="128"/>
        <v>0</v>
      </c>
      <c r="JZ45" s="200">
        <f t="shared" ca="1" si="129"/>
        <v>0</v>
      </c>
      <c r="KA45" s="202">
        <f t="shared" ca="1" si="130"/>
        <v>0</v>
      </c>
      <c r="KB45" s="98" t="str">
        <f t="shared" ca="1" si="20"/>
        <v>!</v>
      </c>
      <c r="KC45" s="98" t="str">
        <f t="shared" ca="1" si="21"/>
        <v>!</v>
      </c>
      <c r="KD45" s="202" t="str">
        <f ca="1">IF(NOT(KA45),INDEX(StdFehler[StdFehler],4),IF(JZ45=$KA$12,$A$3,IF(JW45=$A$2,JX45,IF(JX45=$A$2,JW45,CONCATENATE(JW45,", ",JX45)))))</f>
        <v>Zu wenige Noten</v>
      </c>
      <c r="KE45" s="202" t="str">
        <f t="shared" ca="1" si="131"/>
        <v>Zu wenige Noten</v>
      </c>
      <c r="KF45" s="31"/>
      <c r="KG45" s="56" t="str">
        <f ca="1">IF(NOT(KA45),INDEX(StdFehler[StdFehler],4),IF(JZ45=$KA$12,$A$3,ROUND(AVERAGE(KB45:KC45)/$KG$4,0)*$KG$4))</f>
        <v>Zu wenige Noten</v>
      </c>
      <c r="KH45" s="31"/>
      <c r="KI45" s="599"/>
      <c r="KJ45" s="190"/>
      <c r="KK45" s="586">
        <f>IF(KK$16,IF(KL$16=0.5,MROUND(TanzenResultat[[#This Row],[Resultat]],KL$16),ROUND(TanzenResultat[[#This Row],[Resultat]],KL$16)),ROUNDDOWN(TanzenResultat[[#This Row],[Resultat]],KL$16))</f>
        <v>0</v>
      </c>
      <c r="KL45" s="191" t="str">
        <f>IF(OR(Geschlecht[[#This Row],[Geschlecht (Skala)]]="",KI$16=""),"",MID(Geschlecht[[#This Row],[Geschlecht (Skala)]],1,1)&amp;MID(KI$16,1,1))</f>
        <v/>
      </c>
      <c r="KM45" s="190" t="str">
        <f>IF(OR(KL45="",TanzenResultat[[#This Row],[Resultat]]=""),"",REPLACE(INDEX(StdDisziplinen[TabÜberschriftResultat],KI$3),FIND("X",INDEX(StdDisziplinen[TabÜberschriftResultat],KI$3),1),2,KL45))</f>
        <v/>
      </c>
      <c r="KN45" s="31" t="str">
        <f ca="1">IF(KM45="","",IF(OR(TanzenResultat[[#This Row],[Resultat]]=Stammdaten!$AX$22,TanzenResultat[[#This Row],[Resultat]]=Stammdaten!$AX$19),Stammdaten!$AX$19,IF(ISNA(INDEX(INDIRECT(KM45),MATCH(TanzenGerundet[[#This Row],[Rundung]],INDIRECT(KM45),KM$18))),IF(KM$18=-1,LARGE(INDIRECT(KM45),1),SMALL(INDIRECT(KM45),1)),INDEX(INDIRECT(KM45),MATCH(TanzenGerundet[[#This Row],[Rundung]],INDIRECT(KM45),KM$18)))))</f>
        <v/>
      </c>
      <c r="KP45" s="18" t="str">
        <f ca="1">IF(TanzenSkalawert[[#This Row],[Skala-Wert]]="","",REPLACE(INDEX(StdDisziplinen[TabÜberschriftNote],KI$3),FIND("X",INDEX(StdDisziplinen[TabÜberschriftNote],KI$3),1),2,KL45))</f>
        <v/>
      </c>
      <c r="KQ45" s="45" t="str">
        <f ca="1">IF(OR(KP45="",TanzenSkalawert[[#This Row],[Skala-Wert]]=Stammdaten!$AX$19),"",INDEX(INDIRECT(KP45),MATCH(TanzenSkalawert[[#This Row],[Skala-Wert]],INDIRECT(KM45),0)))</f>
        <v/>
      </c>
      <c r="KR45" s="31"/>
      <c r="KS45" s="597"/>
      <c r="KT45" s="190"/>
      <c r="KU45" s="587">
        <f>IF(KU$16,IF(KV$16=0.5,MROUND(RopeSkippingResultat[[#This Row],[Resultat]],KV$16),ROUND(RopeSkippingResultat[[#This Row],[Resultat]],KV$16)),ROUNDDOWN(RopeSkippingResultat[[#This Row],[Resultat]],KV$16))</f>
        <v>0</v>
      </c>
      <c r="KV45" s="191" t="str">
        <f>IF(OR(Geschlecht[[#This Row],[Geschlecht (Skala)]]="",KS$16=""),"",MID(Geschlecht[[#This Row],[Geschlecht (Skala)]],1,1)&amp;MID(KS$16,1,1))</f>
        <v/>
      </c>
      <c r="KW45" s="190" t="str">
        <f>IF(OR(KV45="",RopeSkippingResultat[[#This Row],[Resultat]]=""),"",REPLACE(INDEX(StdDisziplinen[TabÜberschriftResultat],KS$3),FIND("X",INDEX(StdDisziplinen[TabÜberschriftResultat],KS$3),1),2,KV45))</f>
        <v/>
      </c>
      <c r="KX45" s="192" t="str">
        <f ca="1">IF(KW45="","",IF(OR(RopeSkippingResultat[[#This Row],[Resultat]]=Stammdaten!$AX$22,RopeSkippingResultat[[#This Row],[Resultat]]=Stammdaten!$AX$19),Stammdaten!$AX$19,IF(ISNA(INDEX(INDIRECT(KW45),MATCH(RopeSkippingGerundet[[#This Row],[Rundung]],INDIRECT(KW45),KW$18))),IF(KW$18=-1,LARGE(INDIRECT(KW45),1),SMALL(INDIRECT(KW45),1)),INDEX(INDIRECT(KW45),MATCH(RopeSkippingGerundet[[#This Row],[Rundung]],INDIRECT(KW45),KW$18)))))</f>
        <v/>
      </c>
      <c r="KZ45" s="18" t="str">
        <f ca="1">IF(RopeSkippingSkalawert[[#This Row],[Skala-Wert]]="","",REPLACE(INDEX(StdDisziplinen[TabÜberschriftNote],KS$3),FIND("X",INDEX(StdDisziplinen[TabÜberschriftNote],KS$3),1),2,KV45))</f>
        <v/>
      </c>
      <c r="LA45" s="45" t="str">
        <f ca="1">IF(OR(KZ45="",RopeSkippingSkalawert[[#This Row],[Skala-Wert]]=Stammdaten!$AX$19),"",INDEX(INDIRECT(KZ45),MATCH(RopeSkippingSkalawert[[#This Row],[Skala-Wert]],INDIRECT(KW45),0)))</f>
        <v/>
      </c>
      <c r="LB45" s="31"/>
      <c r="LC45" s="599"/>
      <c r="LD45" s="190"/>
      <c r="LE45" s="586">
        <f>IF(LE$16,IF(LF$16=0.5,MROUND(AerobicResultat[[#This Row],[Resultat]],LF$16),ROUND(AerobicResultat[[#This Row],[Resultat]],LF$16)),ROUNDDOWN(AerobicResultat[[#This Row],[Resultat]],LF$16))</f>
        <v>0</v>
      </c>
      <c r="LF45" s="191" t="str">
        <f>IF(OR(Geschlecht[[#This Row],[Geschlecht (Skala)]]="",LC$16=""),"",MID(Geschlecht[[#This Row],[Geschlecht (Skala)]],1,1)&amp;MID(LC$16,1,1))</f>
        <v/>
      </c>
      <c r="LG45" s="190" t="str">
        <f>IF(OR(LF45="",AerobicResultat[[#This Row],[Resultat]]=""),"",REPLACE(INDEX(StdDisziplinen[TabÜberschriftResultat],LC$3),FIND("X",INDEX(StdDisziplinen[TabÜberschriftResultat],LC$3),1),2,LF45))</f>
        <v/>
      </c>
      <c r="LH45" s="31" t="str">
        <f ca="1">IF(LG45="","",IF(OR(AerobicResultat[[#This Row],[Resultat]]=Stammdaten!$AX$22,AerobicResultat[[#This Row],[Resultat]]=Stammdaten!$AX$19),Stammdaten!$AX$19,IF(ISNA(INDEX(INDIRECT(LG45),MATCH(AerobicGerundet[[#This Row],[Rundung]],INDIRECT(LG45),LG$18))),IF(LG$18=-1,LARGE(INDIRECT(LG45),1),SMALL(INDIRECT(LG45),1)),INDEX(INDIRECT(LG45),MATCH(AerobicGerundet[[#This Row],[Rundung]],INDIRECT(LG45),LG$18)))))</f>
        <v/>
      </c>
      <c r="LJ45" s="18" t="str">
        <f ca="1">IF(AerobicSkalawert[[#This Row],[Skala-Wert]]="","",REPLACE(INDEX(StdDisziplinen[TabÜberschriftNote],LC$3),FIND("X",INDEX(StdDisziplinen[TabÜberschriftNote],LC$3),1),2,LF45))</f>
        <v/>
      </c>
      <c r="LK45" s="45" t="str">
        <f ca="1">IF(OR(LJ45="",AerobicSkalawert[[#This Row],[Skala-Wert]]=Stammdaten!$AX$19),"",INDEX(INDIRECT(LJ45),MATCH(AerobicSkalawert[[#This Row],[Skala-Wert]],INDIRECT(LG45),0)))</f>
        <v/>
      </c>
      <c r="LL45" s="31"/>
      <c r="LM45" s="45" t="str">
        <f ca="1">IF(TanzenSkalawert[[#This Row],[Skala-Wert]]=$A$3,$A$2,IF(ISNUMBER(TanzenSkalawert[[#This Row],[Skala-Wert]]),TanzenNote[[#This Row],[Note]],"!"))</f>
        <v>!</v>
      </c>
      <c r="LN45" s="45" t="str">
        <f ca="1">IF(RopeSkippingSkalawert[[#This Row],[Skala-Wert]]=$A$3,$A$2,IF(ISNUMBER(RopeSkippingSkalawert[[#This Row],[Skala-Wert]]),RopeSkippingNote[[#This Row],[Note]],"!"))</f>
        <v>!</v>
      </c>
      <c r="LO45" s="45" t="str">
        <f ca="1">IF(AerobicSkalawert[[#This Row],[Skala-Wert]]=$A$3,$A$2,IF(ISNUMBER(AerobicSkalawert[[#This Row],[Skala-Wert]]),AerobicNote[[#This Row],[Note]],"!"))</f>
        <v>!</v>
      </c>
      <c r="LP45" s="36">
        <f t="shared" ca="1" si="132"/>
        <v>0</v>
      </c>
      <c r="LQ45" s="36">
        <f t="shared" ca="1" si="133"/>
        <v>0</v>
      </c>
      <c r="LR45" s="244" t="str">
        <f t="shared" ca="1" si="22"/>
        <v>nd</v>
      </c>
      <c r="LS45" s="244" t="str">
        <f t="shared" ca="1" si="23"/>
        <v>nd</v>
      </c>
      <c r="LT45" s="244" t="str">
        <f t="shared" ca="1" si="24"/>
        <v>nd</v>
      </c>
      <c r="LU45" s="242" t="str">
        <f t="shared" ca="1" si="25"/>
        <v/>
      </c>
      <c r="LV45" s="242" t="str">
        <f t="shared" ca="1" si="134"/>
        <v/>
      </c>
      <c r="LW45" s="242" t="str">
        <f t="shared" ca="1" si="135"/>
        <v/>
      </c>
      <c r="LX45" s="242" t="str">
        <f ca="1">IF(LW45="",Stammdaten!$AM$4,INDEX(INDIRECT($B$4),MATCH($LW45,INDIRECT($B$5),0)))</f>
        <v>Darstellen und Tanzen</v>
      </c>
      <c r="LY45" s="242" t="str">
        <f ca="1">IF(LW45="",Stammdaten!$AY$27,IF(ISNUMBER(LU45),LX45,IF(ISNUMBER(LV45),TRIM(Stammdaten!$AX$25),"")))</f>
        <v>nicht durchgeführt</v>
      </c>
      <c r="LZ45" s="242" t="str">
        <f t="shared" ca="1" si="136"/>
        <v>Darstellen und Tanzen</v>
      </c>
      <c r="MA45" s="242" t="str">
        <f t="shared" ca="1" si="137"/>
        <v/>
      </c>
      <c r="MB45" s="242" t="str">
        <f t="shared" ca="1" si="26"/>
        <v>Darstellen und TanzenResultat[@Resultat]</v>
      </c>
      <c r="MC45" s="274" t="str">
        <f t="shared" ca="1" si="138"/>
        <v/>
      </c>
      <c r="MD45" s="242" t="str">
        <f t="shared" ca="1" si="139"/>
        <v>Darstellen und TanzenSkalawert[@[Skala-Wert]]</v>
      </c>
      <c r="ME45" s="274" t="str">
        <f t="shared" ca="1" si="140"/>
        <v/>
      </c>
      <c r="MF45" s="47" t="str">
        <f t="shared" ca="1" si="27"/>
        <v/>
      </c>
      <c r="MG45" s="200" t="str">
        <f t="shared" ca="1" si="141"/>
        <v>StdDisziplinen[MaxTextSt]</v>
      </c>
      <c r="MH45" s="200" t="str">
        <f t="shared" ca="1" si="142"/>
        <v/>
      </c>
      <c r="MI45" s="45"/>
      <c r="MJ45" s="98" t="str">
        <f ca="1">IF(LP45&gt;0,MAX(LM45:LO45),IF(LQ45&gt;0,$A$3,INDEX(StdFehler[StdFehler],4)))</f>
        <v>Zu wenige Noten</v>
      </c>
      <c r="MK45" s="45"/>
      <c r="ML45" s="37"/>
      <c r="MM45" s="190"/>
      <c r="MN45" s="586">
        <f>IF(MN$16,IF(MO$16=0.5,MROUND(BasketballResultat[[#This Row],[Resultat]],MO$16),ROUND(BasketballResultat[[#This Row],[Resultat]],MO$16)),ROUNDDOWN(BasketballResultat[[#This Row],[Resultat]],MO$16))</f>
        <v>0</v>
      </c>
      <c r="MO45" s="191" t="str">
        <f>IF(OR(Geschlecht[[#This Row],[Geschlecht (Skala)]]="",ML$16=""),"",MID(Geschlecht[[#This Row],[Geschlecht (Skala)]],1,1)&amp;MID(ML$16,1,1))</f>
        <v/>
      </c>
      <c r="MP45" s="190" t="str">
        <f>IF(OR(MO45="",BasketballResultat[[#This Row],[Resultat]]=""),"",REPLACE(INDEX(StdDisziplinen[TabÜberschriftResultat],ML$3),FIND("X",INDEX(StdDisziplinen[TabÜberschriftResultat],ML$3),1),2,MO45))</f>
        <v/>
      </c>
      <c r="MQ45" s="31" t="str">
        <f ca="1">IF(MP45="","",IF(OR(BasketballResultat[[#This Row],[Resultat]]=Stammdaten!$AX$22,BasketballResultat[[#This Row],[Resultat]]=Stammdaten!$AX$19),Stammdaten!$AX$19,IF(ISNA(INDEX(INDIRECT(MP45),MATCH(BasketballGerundet[[#This Row],[Rundung]],INDIRECT(MP45),MP$18))),IF(MP$18=-1,LARGE(INDIRECT(MP45),1),SMALL(INDIRECT(MP45),1)),INDEX(INDIRECT(MP45),MATCH(BasketballGerundet[[#This Row],[Rundung]],INDIRECT(MP45),MP$18)))))</f>
        <v/>
      </c>
      <c r="MS45" s="18" t="str">
        <f ca="1">IF(BasketballSkalawert[[#This Row],[Skala-Wert]]="","",REPLACE(INDEX(StdDisziplinen[TabÜberschriftNote],ML$3),FIND("X",INDEX(StdDisziplinen[TabÜberschriftNote],ML$3),1),2,MO45))</f>
        <v/>
      </c>
      <c r="MT45" s="31" t="str">
        <f ca="1">IF(OR(MS45="",BasketballSkalawert[[#This Row],[Skala-Wert]]=Stammdaten!$AX$19),"",INDEX(INDIRECT(MS45),MATCH(BasketballSkalawert[[#This Row],[Skala-Wert]],INDIRECT(MP45),0)))</f>
        <v/>
      </c>
      <c r="MU45" s="31"/>
      <c r="MV45" s="37"/>
      <c r="MW45" s="190"/>
      <c r="MX45" s="586">
        <f>IF(MX$16,IF(MY$16=0.5,MROUND(FussballResultat[[#This Row],[Resultat]],MY$16),ROUND(FussballResultat[[#This Row],[Resultat]],MY$16)),ROUNDDOWN(FussballResultat[[#This Row],[Resultat]],MY$16))</f>
        <v>0</v>
      </c>
      <c r="MY45" s="191" t="str">
        <f>IF(OR(Geschlecht[[#This Row],[Geschlecht (Skala)]]="",MV$16=""),"",MID(Geschlecht[[#This Row],[Geschlecht (Skala)]],1,1)&amp;MID(MV$16,1,1))</f>
        <v/>
      </c>
      <c r="MZ45" s="190" t="str">
        <f>IF(OR(MY45="",FussballResultat[[#This Row],[Resultat]]=""),"",REPLACE(INDEX(StdDisziplinen[TabÜberschriftResultat],MV$3),FIND("X",INDEX(StdDisziplinen[TabÜberschriftResultat],MV$3),1),2,MY45))</f>
        <v/>
      </c>
      <c r="NA45" s="31" t="str">
        <f ca="1">IF(MZ45="","",IF(OR(FussballResultat[[#This Row],[Resultat]]=Stammdaten!$AX$22,FussballResultat[[#This Row],[Resultat]]=Stammdaten!$AX$19),Stammdaten!$AX$19,IF(ISNA(INDEX(INDIRECT(MZ45),MATCH(FussballGerundet[[#This Row],[Rundung]],INDIRECT(MZ45),MZ$18))),IF(MZ$18=-1,LARGE(INDIRECT(MZ45),1),SMALL(INDIRECT(MZ45),1)),INDEX(INDIRECT(MZ45),MATCH(FussballGerundet[[#This Row],[Rundung]],INDIRECT(MZ45),MZ$18)))))</f>
        <v/>
      </c>
      <c r="NC45" s="18" t="str">
        <f ca="1">IF(FussballSkalawert[[#This Row],[Skala-Wert]]="","",REPLACE(INDEX(StdDisziplinen[TabÜberschriftNote],MV$3),FIND("X",INDEX(StdDisziplinen[TabÜberschriftNote],MV$3),1),2,MY45))</f>
        <v/>
      </c>
      <c r="ND45" s="31" t="str">
        <f ca="1">IF(OR(NC45="",FussballSkalawert[[#This Row],[Skala-Wert]]=Stammdaten!$AX$19),"",INDEX(INDIRECT(NC45),MATCH(FussballSkalawert[[#This Row],[Skala-Wert]],INDIRECT(MZ45),0)))</f>
        <v/>
      </c>
      <c r="NE45" s="31"/>
      <c r="NF45" s="37"/>
      <c r="NG45" s="190"/>
      <c r="NH45" s="586">
        <f>IF(NH$16,IF(NI$16=0.5,MROUND(HandballResultat[[#This Row],[Resultat]],NI$16),ROUND(HandballResultat[[#This Row],[Resultat]],NI$16)),ROUNDDOWN(HandballResultat[[#This Row],[Resultat]],NI$16))</f>
        <v>0</v>
      </c>
      <c r="NI45" s="191" t="str">
        <f>IF(OR(Geschlecht[[#This Row],[Geschlecht (Skala)]]="",NF$16=""),"",MID(Geschlecht[[#This Row],[Geschlecht (Skala)]],1,1)&amp;MID(NF$16,1,1))</f>
        <v/>
      </c>
      <c r="NJ45" s="190" t="str">
        <f>IF(OR(NI45="",HandballResultat[[#This Row],[Resultat]]=""),"",REPLACE(INDEX(StdDisziplinen[TabÜberschriftResultat],NF$3),FIND("X",INDEX(StdDisziplinen[TabÜberschriftResultat],NF$3),1),2,NI45))</f>
        <v/>
      </c>
      <c r="NK45" s="31" t="str">
        <f ca="1">IF(NJ45="","",IF(OR(HandballResultat[[#This Row],[Resultat]]=Stammdaten!$AX$22,HandballResultat[[#This Row],[Resultat]]=Stammdaten!$AX$19),Stammdaten!$AX$19,IF(ISNA(INDEX(INDIRECT(NJ45),MATCH(HandballGerundet[[#This Row],[Rundung]],INDIRECT(NJ45),NJ$18))),IF(NJ$18=-1,LARGE(INDIRECT(NJ45),1),SMALL(INDIRECT(NJ45),1)),INDEX(INDIRECT(NJ45),MATCH(HandballGerundet[[#This Row],[Rundung]],INDIRECT(NJ45),NJ$18)))))</f>
        <v/>
      </c>
      <c r="NM45" s="18" t="str">
        <f ca="1">IF(HandballSkalawert[[#This Row],[Skala-Wert]]="","",REPLACE(INDEX(StdDisziplinen[TabÜberschriftNote],NF$3),FIND("X",INDEX(StdDisziplinen[TabÜberschriftNote],NF$3),1),2,NI45))</f>
        <v/>
      </c>
      <c r="NN45" s="31" t="str">
        <f ca="1">IF(OR(NM45="",HandballSkalawert[[#This Row],[Skala-Wert]]=Stammdaten!$AX$19),"",INDEX(INDIRECT(NM45),MATCH(HandballSkalawert[[#This Row],[Skala-Wert]],INDIRECT(NJ45),0)))</f>
        <v/>
      </c>
      <c r="NO45" s="31"/>
      <c r="NP45" s="37"/>
      <c r="NQ45" s="190"/>
      <c r="NR45" s="586">
        <f>IF(NR$16,IF(NS$16=0.5,MROUND(UnihockeyResultat[[#This Row],[Resultat]],NS$16),ROUND(UnihockeyResultat[[#This Row],[Resultat]],NS$16)),ROUNDDOWN(UnihockeyResultat[[#This Row],[Resultat]],NS$16))</f>
        <v>0</v>
      </c>
      <c r="NS45" s="191" t="str">
        <f>IF(OR(Geschlecht[[#This Row],[Geschlecht (Skala)]]="",NP$16=""),"",MID(Geschlecht[[#This Row],[Geschlecht (Skala)]],1,1)&amp;MID(NP$16,1,1))</f>
        <v/>
      </c>
      <c r="NT45" s="190" t="str">
        <f>IF(OR(NS45="",UnihockeyResultat[[#This Row],[Resultat]]=""),"",REPLACE(INDEX(StdDisziplinen[TabÜberschriftResultat],NP$3),FIND("X",INDEX(StdDisziplinen[TabÜberschriftResultat],NP$3),1),2,NS45))</f>
        <v/>
      </c>
      <c r="NU45" s="31" t="str">
        <f ca="1">IF(NT45="","",IF(OR(UnihockeyResultat[[#This Row],[Resultat]]=Stammdaten!$AX$22,UnihockeyResultat[[#This Row],[Resultat]]=Stammdaten!$AX$19),Stammdaten!$AX$19,IF(ISNA(INDEX(INDIRECT(NT45),MATCH(UnihockeyGerundet[[#This Row],[Rundung]],INDIRECT(NT45),NT$18))),IF(NT$18=-1,LARGE(INDIRECT(NT45),1),SMALL(INDIRECT(NT45),1)),INDEX(INDIRECT(NT45),MATCH(UnihockeyGerundet[[#This Row],[Rundung]],INDIRECT(NT45),NT$18)))))</f>
        <v/>
      </c>
      <c r="NW45" s="18" t="str">
        <f ca="1">IF(UnihockeySkalawert[[#This Row],[Skala-Wert]]="","",REPLACE(INDEX(StdDisziplinen[TabÜberschriftNote],NP$3),FIND("X",INDEX(StdDisziplinen[TabÜberschriftNote],NP$3),1),2,NS45))</f>
        <v/>
      </c>
      <c r="NX45" s="31" t="str">
        <f ca="1">IF(OR(NW45="",UnihockeySkalawert[[#This Row],[Skala-Wert]]=Stammdaten!$AX$19),"",INDEX(INDIRECT(NW45),MATCH(UnihockeySkalawert[[#This Row],[Skala-Wert]],INDIRECT(NT45),0)))</f>
        <v/>
      </c>
      <c r="NY45" s="31"/>
      <c r="NZ45" s="597"/>
      <c r="OA45" s="190"/>
      <c r="OB45" s="587">
        <f>IF(OB$16,IF(OC$16=0.5,MROUND(VolleyballResultat[[#This Row],[Resultat]],OC$16),ROUND(VolleyballResultat[[#This Row],[Resultat]],OC$16)),ROUNDDOWN(VolleyballResultat[[#This Row],[Resultat]],OC$16))</f>
        <v>0</v>
      </c>
      <c r="OC45" s="191" t="str">
        <f>IF(OR(Geschlecht[[#This Row],[Geschlecht (Skala)]]="",NZ$16=""),"",MID(Geschlecht[[#This Row],[Geschlecht (Skala)]],1,1)&amp;MID(NZ$16,1,1))</f>
        <v/>
      </c>
      <c r="OD45" s="190" t="str">
        <f>IF(OR(OC45="",VolleyballResultat[[#This Row],[Resultat]]=""),"",REPLACE(INDEX(StdDisziplinen[TabÜberschriftResultat],NZ$3),FIND("X",INDEX(StdDisziplinen[TabÜberschriftResultat],NZ$3),1),2,OC45))</f>
        <v/>
      </c>
      <c r="OE45" s="192" t="str">
        <f ca="1">IF(OD45="","",IF(OR(VolleyballResultat[[#This Row],[Resultat]]=Stammdaten!$AX$22,VolleyballResultat[[#This Row],[Resultat]]=Stammdaten!$AX$19),Stammdaten!$AX$19,IF(ISNA(INDEX(INDIRECT(OD45),MATCH(VolleyballGerundet[[#This Row],[Rundung]],INDIRECT(OD45),OD$18))),IF(OD$18=-1,LARGE(INDIRECT(OD45),1),SMALL(INDIRECT(OD45),1)),INDEX(INDIRECT(OD45),MATCH(VolleyballGerundet[[#This Row],[Rundung]],INDIRECT(OD45),OD$18)))))</f>
        <v/>
      </c>
      <c r="OG45" s="18" t="str">
        <f ca="1">IF(VolleyballSkalawert[[#This Row],[Skala-Wert]]="","",REPLACE(INDEX(StdDisziplinen[TabÜberschriftNote],NZ$3),FIND("X",INDEX(StdDisziplinen[TabÜberschriftNote],NZ$3),1),2,OC45))</f>
        <v/>
      </c>
      <c r="OH45" s="31" t="str">
        <f ca="1">IF(OR(OG45="",VolleyballSkalawert[[#This Row],[Skala-Wert]]=Stammdaten!$AX$19),"",INDEX(INDIRECT(OG45),MATCH(VolleyballSkalawert[[#This Row],[Skala-Wert]],INDIRECT(OD45),0)))</f>
        <v/>
      </c>
      <c r="OI45" s="45"/>
      <c r="OJ45" s="31">
        <f ca="1">IF(BasketballSkalawert[[#This Row],[Skala-Wert]]=$A$3,$A$2,IF(BasketballNote[[#This Row],[Note]]="",0,BasketballNote[[#This Row],[Note]]))</f>
        <v>0</v>
      </c>
      <c r="OK45" s="31">
        <f ca="1">IF(FussballSkalawert[[#This Row],[Skala-Wert]]=$A$3,$A$2,IF(FussballNote[[#This Row],[Note]]="",0,FussballNote[[#This Row],[Note]]))</f>
        <v>0</v>
      </c>
      <c r="OL45" s="31">
        <f ca="1">IF(HandballSkalawert[[#This Row],[Skala-Wert]]=$A$3,$A$2,IF(HandballNote[[#This Row],[Note]]="",0,HandballNote[[#This Row],[Note]]))</f>
        <v>0</v>
      </c>
      <c r="OM45" s="31">
        <f ca="1">IF(UnihockeySkalawert[[#This Row],[Skala-Wert]]=$A$3,$A$2,IF(UnihockeyNote[[#This Row],[Note]]="",0,UnihockeyNote[[#This Row],[Note]]))</f>
        <v>0</v>
      </c>
      <c r="ON45" s="31">
        <f ca="1">IF(VolleyballSkalawert[[#This Row],[Skala-Wert]]=$A$3,$A$2,IF(VolleyballNote[[#This Row],[Note]]="",0,VolleyballNote[[#This Row],[Note]]))</f>
        <v>0</v>
      </c>
      <c r="OO45" s="202">
        <f t="shared" ca="1" si="28"/>
        <v>0</v>
      </c>
      <c r="OP45" s="202">
        <f t="shared" ca="1" si="29"/>
        <v>0</v>
      </c>
      <c r="OQ45" s="202">
        <f t="shared" ca="1" si="143"/>
        <v>0</v>
      </c>
      <c r="OR45" s="96" t="str">
        <f t="shared" ca="1" si="144"/>
        <v>!</v>
      </c>
      <c r="OS45" s="96" t="str">
        <f t="shared" ca="1" si="30"/>
        <v>!</v>
      </c>
      <c r="OT45" s="96" t="str">
        <f t="shared" ca="1" si="31"/>
        <v>!</v>
      </c>
      <c r="OU45" s="96" t="str">
        <f ca="1">IF(NOT(OQ45),INDEX(StdFehler[StdFehler],4),IF(COUNTIF(OR45:OT45,$A$2)&gt;=$OQ$13,$A$3,ROUND(AVERAGE(OR45:OT45)/$RX$4,0)*$RX$4))</f>
        <v>Zu wenige Noten</v>
      </c>
      <c r="OV45" s="244" t="str">
        <f t="shared" ca="1" si="145"/>
        <v>nd</v>
      </c>
      <c r="OW45" s="244" t="str">
        <f t="shared" ca="1" si="146"/>
        <v>nd</v>
      </c>
      <c r="OX45" s="244" t="str">
        <f t="shared" ca="1" si="147"/>
        <v>nd</v>
      </c>
      <c r="OY45" s="244" t="str">
        <f t="shared" ca="1" si="148"/>
        <v>nd</v>
      </c>
      <c r="OZ45" s="244" t="str">
        <f t="shared" ca="1" si="149"/>
        <v>nd</v>
      </c>
      <c r="PA45" s="202" t="b">
        <f t="shared" ca="1" si="150"/>
        <v>0</v>
      </c>
      <c r="PB45" s="202">
        <f t="shared" ca="1" si="151"/>
        <v>1</v>
      </c>
      <c r="PC45" s="202">
        <f t="shared" ca="1" si="152"/>
        <v>0</v>
      </c>
      <c r="PD45" s="96" t="str">
        <f t="shared" ca="1" si="153"/>
        <v/>
      </c>
      <c r="PE45" s="96" t="str">
        <f t="shared" ca="1" si="154"/>
        <v/>
      </c>
      <c r="PF45" s="200">
        <f t="shared" ca="1" si="155"/>
        <v>0</v>
      </c>
      <c r="PG45" s="202" t="str">
        <f t="shared" ca="1" si="156"/>
        <v/>
      </c>
      <c r="PH45" s="200" t="str">
        <f t="shared" ca="1" si="157"/>
        <v/>
      </c>
      <c r="PI45" s="200" t="str">
        <f t="shared" ca="1" si="158"/>
        <v/>
      </c>
      <c r="PJ45" s="200" t="str">
        <f t="shared" ca="1" si="159"/>
        <v/>
      </c>
      <c r="PK45" s="242" t="str">
        <f t="shared" ca="1" si="160"/>
        <v/>
      </c>
      <c r="PL45" s="242" t="str">
        <f t="shared" ca="1" si="161"/>
        <v/>
      </c>
      <c r="PM45" s="242" t="str">
        <f t="shared" ca="1" si="162"/>
        <v/>
      </c>
      <c r="PN45" s="242" t="str">
        <f t="shared" ca="1" si="163"/>
        <v>Erste Spielsportart</v>
      </c>
      <c r="PO45" s="242" t="str">
        <f ca="1">IF(PN45=$PM$11,Stammdaten!$AY$27,IF(PR45=$A$2,TRIM(Stammdaten!$AX$25),""))</f>
        <v>nicht durchgeführt</v>
      </c>
      <c r="PP45" s="242" t="str">
        <f t="shared" ca="1" si="164"/>
        <v/>
      </c>
      <c r="PQ45" s="202" t="str">
        <f t="shared" ca="1" si="165"/>
        <v>Erste SpielsportartResultat[@Resultat]</v>
      </c>
      <c r="PR45" s="98" t="str">
        <f t="shared" ca="1" si="166"/>
        <v/>
      </c>
      <c r="PS45" s="202" t="str">
        <f t="shared" ca="1" si="167"/>
        <v/>
      </c>
      <c r="PT45" s="202" t="str">
        <f t="shared" ca="1" si="168"/>
        <v>Erste SpielsportartSkalawert[@[Skala-Wert]]</v>
      </c>
      <c r="PU45" s="98" t="str">
        <f t="shared" ca="1" si="169"/>
        <v/>
      </c>
      <c r="PV45" s="202" t="str">
        <f t="shared" ca="1" si="170"/>
        <v/>
      </c>
      <c r="PW45" s="202" t="str">
        <f t="shared" ca="1" si="171"/>
        <v/>
      </c>
      <c r="PX45" s="202" t="str">
        <f t="shared" ca="1" si="172"/>
        <v>StdDisziplinen[MaxTextSt]</v>
      </c>
      <c r="PY45" s="202" t="str">
        <f t="shared" ca="1" si="173"/>
        <v/>
      </c>
      <c r="PZ45" s="202" t="b">
        <f t="shared" ca="1" si="174"/>
        <v>0</v>
      </c>
      <c r="QA45" s="202" t="str">
        <f t="shared" ca="1" si="175"/>
        <v/>
      </c>
      <c r="QB45" s="202" t="str">
        <f t="shared" ca="1" si="32"/>
        <v/>
      </c>
      <c r="QC45" s="202" t="str">
        <f t="shared" ca="1" si="176"/>
        <v/>
      </c>
      <c r="QD45" s="202" t="str">
        <f t="shared" ca="1" si="177"/>
        <v/>
      </c>
      <c r="QE45" s="242" t="str">
        <f t="shared" ca="1" si="178"/>
        <v/>
      </c>
      <c r="QF45" s="242" t="str">
        <f t="shared" ca="1" si="179"/>
        <v/>
      </c>
      <c r="QG45" s="242" t="str">
        <f t="shared" ca="1" si="180"/>
        <v>Zweite Spielsportart</v>
      </c>
      <c r="QH45" s="242" t="str">
        <f ca="1">IF(QG45=$QF$11,Stammdaten!$AY$27,IF(QK45=$A$2,TRIM(Stammdaten!$AX$25),""))</f>
        <v>nicht durchgeführt</v>
      </c>
      <c r="QI45" s="242" t="str">
        <f t="shared" ca="1" si="181"/>
        <v/>
      </c>
      <c r="QJ45" s="202" t="str">
        <f t="shared" ca="1" si="182"/>
        <v>Zweite SpielsportartResultat[@Resultat]</v>
      </c>
      <c r="QK45" s="98" t="str">
        <f t="shared" ca="1" si="183"/>
        <v/>
      </c>
      <c r="QL45" s="202" t="str">
        <f t="shared" ca="1" si="184"/>
        <v/>
      </c>
      <c r="QM45" s="202" t="str">
        <f t="shared" ca="1" si="185"/>
        <v>Zweite SpielsportartSkalawert[@[Skala-Wert]]</v>
      </c>
      <c r="QN45" s="98" t="str">
        <f t="shared" ca="1" si="186"/>
        <v/>
      </c>
      <c r="QO45" s="202" t="str">
        <f t="shared" ca="1" si="187"/>
        <v/>
      </c>
      <c r="QP45" s="202" t="str">
        <f t="shared" ca="1" si="188"/>
        <v/>
      </c>
      <c r="QQ45" s="202" t="str">
        <f t="shared" ca="1" si="189"/>
        <v>StdDisziplinen[MaxTextSt]</v>
      </c>
      <c r="QR45" s="202" t="str">
        <f t="shared" ca="1" si="190"/>
        <v/>
      </c>
      <c r="QS45" s="202" t="b">
        <f t="shared" ca="1" si="191"/>
        <v>0</v>
      </c>
      <c r="QT45" s="242" t="str">
        <f t="shared" ca="1" si="33"/>
        <v>Dritte Spielsportart</v>
      </c>
      <c r="QU45" s="242" t="str">
        <f ca="1">IF(QT45=$QT$11,MID(Stammdaten!$AX$27,2,LEN(Stammdaten!$AX$27)),IF(QX45=$A$2,TRIM(Stammdaten!$AX$25),""))</f>
        <v>nicht durchgeführt</v>
      </c>
      <c r="QV45" s="242" t="str">
        <f t="shared" ca="1" si="34"/>
        <v/>
      </c>
      <c r="QW45" s="202" t="str">
        <f t="shared" ca="1" si="192"/>
        <v>Dritte SpielsportartResultat[@Resultat]</v>
      </c>
      <c r="QX45" s="98" t="str">
        <f t="shared" ca="1" si="193"/>
        <v/>
      </c>
      <c r="QY45" s="202" t="str">
        <f t="shared" ca="1" si="35"/>
        <v/>
      </c>
      <c r="QZ45" s="202" t="str">
        <f t="shared" ca="1" si="194"/>
        <v>Dritte SpielsportartSkalawert[@[Skala-Wert]]</v>
      </c>
      <c r="RA45" s="98" t="str">
        <f t="shared" ca="1" si="224"/>
        <v/>
      </c>
      <c r="RB45" s="202" t="str">
        <f t="shared" ca="1" si="36"/>
        <v/>
      </c>
      <c r="RC45" s="202" t="str">
        <f t="shared" ca="1" si="196"/>
        <v/>
      </c>
      <c r="RD45" s="202" t="str">
        <f t="shared" ca="1" si="197"/>
        <v>StdDisziplinen[MaxTextSt]</v>
      </c>
      <c r="RE45" s="202" t="str">
        <f t="shared" ca="1" si="37"/>
        <v/>
      </c>
      <c r="RF45" s="244">
        <f t="shared" ca="1" si="38"/>
        <v>99</v>
      </c>
      <c r="RG45" s="244">
        <f t="shared" ca="1" si="39"/>
        <v>99</v>
      </c>
      <c r="RH45" s="244">
        <f t="shared" ca="1" si="40"/>
        <v>99</v>
      </c>
      <c r="RI45" s="244">
        <f t="shared" ca="1" si="41"/>
        <v>99</v>
      </c>
      <c r="RJ45" s="244">
        <f t="shared" ca="1" si="42"/>
        <v>99</v>
      </c>
      <c r="RK45" s="244">
        <f t="shared" ca="1" si="198"/>
        <v>99</v>
      </c>
      <c r="RL45" s="244">
        <f t="shared" ca="1" si="199"/>
        <v>99</v>
      </c>
      <c r="RM45" s="244">
        <f t="shared" ca="1" si="200"/>
        <v>99</v>
      </c>
      <c r="RN45" s="244">
        <f t="shared" ca="1" si="201"/>
        <v>99</v>
      </c>
      <c r="RO45" s="244">
        <f t="shared" ca="1" si="202"/>
        <v>99</v>
      </c>
      <c r="RP45" s="202" t="str">
        <f t="shared" ca="1" si="43"/>
        <v>Zu wenige Noten</v>
      </c>
      <c r="RQ45" s="202" t="str">
        <f t="shared" ca="1" si="203"/>
        <v>Zu wenige Noten</v>
      </c>
      <c r="RR45" s="202" t="str">
        <f t="shared" ca="1" si="203"/>
        <v>Zu wenige Noten</v>
      </c>
      <c r="RS45" s="202" t="str">
        <f t="shared" ca="1" si="204"/>
        <v>Zu wenige Noten</v>
      </c>
      <c r="RT45" s="202" t="str">
        <f t="shared" ca="1" si="204"/>
        <v>Zu wenige Noten</v>
      </c>
      <c r="RU45" s="202" t="str">
        <f t="shared" ca="1" si="205"/>
        <v>Zu wenige Noten</v>
      </c>
      <c r="RV45" s="202" t="str">
        <f t="shared" ca="1" si="206"/>
        <v>Zu wenige Noten</v>
      </c>
      <c r="RW45" s="31"/>
      <c r="RX45" s="56" t="str">
        <f t="shared" ca="1" si="44"/>
        <v>Zu wenige Noten</v>
      </c>
      <c r="RY45" s="31"/>
      <c r="RZ45" s="31" t="str">
        <f t="shared" ca="1" si="45"/>
        <v>Zu wenige Noten</v>
      </c>
      <c r="SA45" s="31" t="str">
        <f t="shared" ca="1" si="46"/>
        <v>Zu wenige Noten</v>
      </c>
      <c r="SB45" s="45" t="str">
        <f t="shared" ca="1" si="47"/>
        <v>Zu wenige Noten</v>
      </c>
      <c r="SC45" s="31" t="str">
        <f t="shared" ca="1" si="207"/>
        <v>Zu wenige Noten</v>
      </c>
      <c r="SD45" s="31" t="str">
        <f t="shared" ca="1" si="208"/>
        <v>Zu wenige Noten</v>
      </c>
      <c r="SE45" s="31" t="str">
        <f t="shared" ca="1" si="225"/>
        <v>Zu wenige Noten</v>
      </c>
      <c r="SF45" s="31" t="str">
        <f t="shared" ca="1" si="209"/>
        <v>Zu wenige Noten</v>
      </c>
      <c r="SG45" s="31" t="str">
        <f t="shared" ca="1" si="226"/>
        <v>Zu wenige Noten</v>
      </c>
      <c r="SH45" s="36">
        <f t="shared" ca="1" si="210"/>
        <v>0</v>
      </c>
      <c r="SI45" s="36">
        <f t="shared" ca="1" si="211"/>
        <v>0</v>
      </c>
      <c r="SJ45" s="36">
        <f t="shared" ca="1" si="212"/>
        <v>0</v>
      </c>
      <c r="SK45" s="31">
        <f t="shared" ca="1" si="213"/>
        <v>99</v>
      </c>
      <c r="SL45" s="31">
        <f t="shared" ca="1" si="214"/>
        <v>99</v>
      </c>
      <c r="SM45" s="36" t="str">
        <f t="shared" ca="1" si="215"/>
        <v>99.0</v>
      </c>
      <c r="SN45" s="31">
        <f t="shared" ca="1" si="216"/>
        <v>99</v>
      </c>
      <c r="SO45" s="36" t="str">
        <f ca="1">IF(NOT(SJ45),INDEX(StdFehler[StdFehler],4),IF(SI45=$SJ$13,$A$3,CONCATENATE(TEXT(SK45,"#.0"),", ",TEXT(SL45,"#.0"),", ",SM45,", ",TEXT(SN45,"#.0"))))</f>
        <v>Zu wenige Noten</v>
      </c>
      <c r="SP45" s="36" t="str">
        <f t="shared" ca="1" si="49"/>
        <v>Zu wenige Noten</v>
      </c>
      <c r="SQ45" s="36" t="str">
        <f t="shared" ca="1" si="49"/>
        <v>Zu wenige Noten</v>
      </c>
      <c r="SR45" s="36" t="str">
        <f t="shared" ca="1" si="49"/>
        <v>Zu wenige Noten</v>
      </c>
      <c r="SS45" s="36" t="str">
        <f t="shared" ca="1" si="49"/>
        <v>Zu wenige Noten</v>
      </c>
      <c r="ST45" s="36" t="str">
        <f t="shared" ca="1" si="217"/>
        <v>Zu wenige Noten</v>
      </c>
      <c r="SU45" s="36"/>
      <c r="SV45" s="214" t="str">
        <f t="shared" si="218"/>
        <v>D</v>
      </c>
      <c r="SW45" s="36"/>
      <c r="SX45" s="214" t="str">
        <f t="shared" si="219"/>
        <v>D</v>
      </c>
      <c r="SY45" s="36"/>
      <c r="SZ45" s="214" t="str">
        <f t="shared" si="220"/>
        <v>D</v>
      </c>
      <c r="TA45" s="36"/>
      <c r="TB45" s="214" t="str">
        <f t="shared" si="221"/>
        <v>D</v>
      </c>
      <c r="TC45" s="31"/>
      <c r="TD45" s="36" t="str">
        <f t="shared" ca="1" si="222"/>
        <v>Zu wenige Noten</v>
      </c>
      <c r="TE45" s="31"/>
      <c r="TF45" s="193" t="str">
        <f ca="1">IF(NOT(SJ45),INDEX(StdFehler[StdFehler],4),IF(SI45=$TF$4,$A$3,ROUND(AVERAGE(RZ45:SC45)/$TF$5,0)*$TF$5))</f>
        <v>Zu wenige Noten</v>
      </c>
      <c r="TH45" s="595" t="str">
        <f>IF(OR($TH$18=Stammdaten!$AX$20,$TH$18=""),Stammdaten!$AX$20,$TH$18)</f>
        <v>Disziplin</v>
      </c>
      <c r="TI45" s="33"/>
      <c r="TJ45" s="33" t="str">
        <f>IF(OR(Geschlecht[[#This Row],[Geschlecht (Skala)]]="",TH45="",TH45=Stammdaten!$AX$20),"",REPLACE(INDEX(StdDisziplinen[TabÜberschriftResultat],TH$3),FIND("XX",INDEX(StdDisziplinen[TabÜberschriftResultat],TH$3),1),2,Geschlecht[[#This Row],[Geschlecht (Skala)]]))</f>
        <v/>
      </c>
      <c r="TK45" s="596"/>
      <c r="TM45" s="37"/>
      <c r="TN45" s="40"/>
      <c r="TO45" s="587">
        <f>IF(TO$16,IF(TP$16=0.5,MROUND(SchwimmenResultat[[#This Row],[Resultat]],TP$16),ROUND(SchwimmenResultat[[#This Row],[Resultat]],TP$16)),ROUNDDOWN(SchwimmenResultat[[#This Row],[Resultat]],TP$16))</f>
        <v>0</v>
      </c>
      <c r="TP45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5" s="153" t="str">
        <f ca="1">IF(TP45="","",IF(OR(SchwimmenResultat[[#This Row],[Resultat]]=Stammdaten!$AX$22,SchwimmenResultat[[#This Row],[Resultat]]=Stammdaten!$AX$19),Stammdaten!$AX$19,IF(ISNA(INDEX(INDIRECT(TP45),MATCH(SchwimmenGerundet[[#This Row],[Rundung]],INDIRECT(TP45),TP$18))),IF(TP$18=-1,LARGE(INDIRECT(TP45),1),SMALL(INDIRECT(TP45),1)),INDEX(INDIRECT(TP45),MATCH(SchwimmenGerundet[[#This Row],[Rundung]],INDIRECT(TP45),TP$18)))))</f>
        <v/>
      </c>
      <c r="TR45" s="33" t="str">
        <f>IF(OR(TP45="",SchwimmenResultat[[#This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5" s="33"/>
      <c r="TT45" s="36" t="str">
        <f ca="1">IF(OR(TR45="",SchwimmenSkalawert[[#This Row],[Skala-Wert]]=Stammdaten!$AX$19),"",INDEX(INDIRECT(TR45),MATCH(SchwimmenSkalawert[[#This Row],[Skala-Wert]],INDIRECT(TP45),0)))</f>
        <v/>
      </c>
      <c r="TU45" s="36"/>
      <c r="TV45" s="190" t="str">
        <f>IF(ZwölfMinLaufHalleResultat[[#This Row],[Resultat]]=0,"",ZwölfMinLaufHalleResultat[[#This Row],[Resultat]])</f>
        <v/>
      </c>
      <c r="TW45" s="190"/>
      <c r="TX45" s="31" t="str">
        <f ca="1">ZwölfMinLaufHalleSkalawert[[#This Row],[Skala-Wert]]</f>
        <v/>
      </c>
      <c r="TZ45" s="31" t="str">
        <f ca="1">ZwölfMinLaufHalleNote[[#This Row],[Note]]</f>
        <v/>
      </c>
      <c r="UA45" s="31"/>
      <c r="UB45" s="190" t="str">
        <f>IF(ZwölfMinLaufimFreienResultat[[#This Row],[Resultat]]=0,"",ZwölfMinLaufimFreienResultat[[#This Row],[Resultat]])</f>
        <v/>
      </c>
      <c r="UC45" s="190"/>
      <c r="UD45" s="192" t="str">
        <f ca="1">ZwölfMinLaufimFreienSkalawert[[#This Row],[Skala-Wert]]</f>
        <v/>
      </c>
      <c r="UF45" s="31" t="str">
        <f ca="1">ZwölfMinLaufimFreienNote[[#This Row],[Note]]</f>
        <v/>
      </c>
      <c r="UG45" s="31"/>
      <c r="UH45" s="597"/>
      <c r="UI45" s="190"/>
      <c r="UJ45" s="587">
        <f>IF(UJ$16,IF(UK$16=0.5,MROUND(BeweglichkeitResultat[[#This Row],[Resultat]],UK$16),ROUND(BeweglichkeitResultat[[#This Row],[Resultat]],UK$16)),ROUNDDOWN(BeweglichkeitResultat[[#This Row],[Resultat]],UK$16))</f>
        <v>0</v>
      </c>
      <c r="UK45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5" s="192" t="str">
        <f ca="1">IF(UK45="","",IF(OR(BeweglichkeitResultat[[#This Row],[Resultat]]=Stammdaten!$AX$22,BeweglichkeitResultat[[#This Row],[Resultat]]=Stammdaten!$AX$19),Stammdaten!$AX$19,IF(ISNA(INDEX(INDIRECT(UK45),MATCH(BeweglichkeitGerundet[[#This Row],[Rundung]],INDIRECT(UK45),UK$18))),IF(UK$18=-1,LARGE(INDIRECT(UK45),1),SMALL(INDIRECT(UK45),1)),INDEX(INDIRECT(UK45),MATCH(BeweglichkeitGerundet[[#This Row],[Rundung]],INDIRECT(UK45),UK$18)))))</f>
        <v/>
      </c>
      <c r="UN45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5" s="36" t="str">
        <f ca="1">IF(OR(UK45="",BeweglichkeitSkalawert[[#This Row],[Skala-Wert]]=Stammdaten!$AX$19),"",INDEX(INDIRECT(UN45),MATCH(BeweglichkeitSkalawert[[#This Row],[Skala-Wert]],INDIRECT(UK45),0)))</f>
        <v/>
      </c>
      <c r="UP45" s="31"/>
      <c r="UQ45" s="597"/>
      <c r="UR45" s="190"/>
      <c r="US45" s="587">
        <f>IF(US$16,IF(UT$16=0.5,MROUND(RumpfkraftResultat[[#This Row],[Resultat]],UT$16),ROUND(RumpfkraftResultat[[#This Row],[Resultat]],UT$16)),ROUNDDOWN(RumpfkraftResultat[[#This Row],[Resultat]],UT$16))</f>
        <v>0</v>
      </c>
      <c r="UT45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5" s="192" t="str">
        <f ca="1">IF(UT45="","",IF(OR(RumpfkraftResultat[[#This Row],[Resultat]]=Stammdaten!$AX$22,RumpfkraftResultat[[#This Row],[Resultat]]=Stammdaten!$AX$19),Stammdaten!$AX$19,IF(ISNA(INDEX(INDIRECT(UT45),MATCH(RumpfkraftGerundet[[#This Row],[Rundung]],INDIRECT(UT45),UT$18))),IF(UT$18=-1,LARGE(INDIRECT(UT45),1),SMALL(INDIRECT(UT45),1)),INDEX(INDIRECT(UT45),MATCH(RumpfkraftGerundet[[#This Row],[Rundung]],INDIRECT(UT45),UT$18)))))</f>
        <v/>
      </c>
      <c r="UW45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5" s="36" t="str">
        <f ca="1">IF(OR(UT45="",RumpfkraftSkalawert[[#This Row],[Skala-Wert]]=Stammdaten!$AX$19),"",INDEX(INDIRECT(UW45),MATCH(RumpfkraftSkalawert[[#This Row],[Skala-Wert]],INDIRECT(UT45),0)))</f>
        <v/>
      </c>
      <c r="UY45" s="31"/>
      <c r="UZ45" s="190" t="str">
        <f>IF(SechzigmLaufResultat[[#This Row],[Resultat]]=0,"",SechzigmLaufResultat[[#This Row],[Resultat]])</f>
        <v/>
      </c>
      <c r="VA45" s="190"/>
      <c r="VB45" s="45" t="str">
        <f ca="1">SechzigmLaufSkalawert[[#This Row],[Skala-Wert]]</f>
        <v/>
      </c>
      <c r="VD45" s="31" t="str">
        <f ca="1">SechzigmLaufNote[[#This Row],[Note]]</f>
        <v/>
      </c>
      <c r="VE45" s="31"/>
      <c r="VF45" s="190" t="str">
        <f>IF(AchtzigmLaufResultat[[#This Row],[Resultat]]=0,"",AchtzigmLaufResultat[[#This Row],[Resultat]])</f>
        <v/>
      </c>
      <c r="VG45" s="190"/>
      <c r="VH45" s="45" t="str">
        <f ca="1">AchtzigmLaufSkalawert[[#This Row],[Skala-Wert]]</f>
        <v/>
      </c>
      <c r="VJ45" s="31" t="str">
        <f ca="1">AchtzigmLaufNote[[#This Row],[Note]]</f>
        <v/>
      </c>
      <c r="VK45" s="31"/>
      <c r="VL45" s="37"/>
      <c r="VM45" s="190"/>
      <c r="VN45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5" s="191" t="str">
        <f>IF(OR(Geschlecht[[#This Row],[Geschlecht (Skala)]]="",VL$16=""),"",MID(Geschlecht[[#This Row],[Geschlecht (Skala)]],1,1)&amp;MID(VL$16,1,1))</f>
        <v/>
      </c>
      <c r="VP45" s="190" t="str">
        <f>IF(OR(VO45="",KonditionsparcoursResultat[[#This Row],[Resultat]]=""),"",REPLACE(INDEX(StdDisziplinen[TabÜberschriftResultat],VL$3),FIND("X",INDEX(StdDisziplinen[TabÜberschriftResultat],VL$3),1),2,VO45))</f>
        <v/>
      </c>
      <c r="VQ45" s="192" t="str">
        <f ca="1">IF(VP45="","",IF(OR(KonditionsparcoursResultat[[#This Row],[Resultat]]=Stammdaten!$AX$22,KonditionsparcoursResultat[[#This Row],[Resultat]]=Stammdaten!$AX$19),Stammdaten!$AX$19,IF(ISNA(INDEX(INDIRECT(VP45),MATCH(KonditionsparcoursGerundet[[#This Row],[Rundung]],INDIRECT(VP45),VP$18))),IF(VP$18=-1,LARGE(INDIRECT(VP45),1),SMALL(INDIRECT(VP45),1)),INDEX(INDIRECT(VP45),MATCH(KonditionsparcoursGerundet[[#This Row],[Rundung]],INDIRECT(VP45),VP$18)))))</f>
        <v/>
      </c>
      <c r="VS45" s="18" t="str">
        <f ca="1">IF(KonditionsparcoursSkalawert[[#This Row],[Skala-Wert]]="","",REPLACE(INDEX(StdDisziplinen[TabÜberschriftNote],VL$3),FIND("X",INDEX(StdDisziplinen[TabÜberschriftNote],VL$3),1),2,VO45))</f>
        <v/>
      </c>
      <c r="VT45" s="31" t="str">
        <f ca="1">IF(OR(VS45="",KonditionsparcoursSkalawert[[#This Row],[Skala-Wert]]=Stammdaten!$AX$19),"",INDEX(INDIRECT(VS45),MATCH(KonditionsparcoursSkalawert[[#This Row],[Skala-Wert]],INDIRECT(VP45),0)))</f>
        <v/>
      </c>
      <c r="VU45" s="22"/>
    </row>
    <row r="46" spans="1:593" x14ac:dyDescent="0.3">
      <c r="A46" s="30">
        <v>28</v>
      </c>
      <c r="B46" s="589"/>
      <c r="C46" s="589"/>
      <c r="E46" s="591"/>
      <c r="G46" s="37"/>
      <c r="H46" s="190"/>
      <c r="I46" s="154">
        <f>IF(I$16,IF(J$16=0.5,MROUND(SechzigmLaufResultat[[#This Row],[Resultat]],J$16),ROUND(SechzigmLaufResultat[[#This Row],[Resultat]],J$16)),ROUNDDOWN(SechzigmLaufResultat[[#This Row],[Resultat]],J$16))</f>
        <v>0</v>
      </c>
      <c r="J46" s="191" t="str">
        <f>IF(OR(Geschlecht[[#This Row],[Geschlecht (Skala)]]="",G$16=""),"",MID(Geschlecht[[#This Row],[Geschlecht (Skala)]],1,1)&amp;MID(G$16,1,1))</f>
        <v/>
      </c>
      <c r="K46" s="190" t="str">
        <f>IF(OR(J46="",SechzigmLaufResultat[[#This Row],[Resultat]]=""),"",REPLACE(INDEX(StdDisziplinen[TabÜberschriftResultat],G$3),FIND("X",INDEX(StdDisziplinen[TabÜberschriftResultat],G$3),1),2,J46))</f>
        <v/>
      </c>
      <c r="L46" s="45" t="str">
        <f ca="1">IF(K46="","",IF(OR(SechzigmLaufResultat[[#This Row],[Resultat]]=Stammdaten!$AX$22,SechzigmLaufResultat[[#This Row],[Resultat]]=Stammdaten!$AX$19),Stammdaten!$AX$19,IF(ISNA(INDEX(INDIRECT(K46),MATCH(SechzigmLaufGerundet[[#This Row],[Rundung]],INDIRECT(K46),K$18))),IF(K$18=-1,LARGE(INDIRECT(K46),1),SMALL(INDIRECT(K46),1)),INDEX(INDIRECT(K46),MATCH(SechzigmLaufGerundet[[#This Row],[Rundung]],INDIRECT(K46),K$18)))))</f>
        <v/>
      </c>
      <c r="N46" s="18" t="str">
        <f ca="1">IF(SechzigmLaufSkalawert[[#This Row],[Skala-Wert]]="","",REPLACE(INDEX(StdDisziplinen[TabÜberschriftNote],G$3),FIND("X",INDEX(StdDisziplinen[TabÜberschriftNote],G$3),1),2,J46))</f>
        <v/>
      </c>
      <c r="O46" s="31" t="str">
        <f ca="1">IF(OR(N46="",SechzigmLaufSkalawert[[#This Row],[Skala-Wert]]=Stammdaten!$AX$19),"",INDEX(INDIRECT(N46),MATCH(SechzigmLaufSkalawert[[#This Row],[Skala-Wert]],INDIRECT(K46),0)))</f>
        <v/>
      </c>
      <c r="P46" s="31"/>
      <c r="Q46" s="37"/>
      <c r="R46" s="190"/>
      <c r="S46" s="154">
        <f>IF(S$16,IF(T$16=0.5,MROUND(AchtzigmLaufResultat[[#This Row],[Resultat]],T$16),ROUND(AchtzigmLaufResultat[[#This Row],[Resultat]],T$16)),ROUNDDOWN(AchtzigmLaufResultat[[#This Row],[Resultat]],T$16))</f>
        <v>0</v>
      </c>
      <c r="T46" s="191" t="str">
        <f>IF(OR(Geschlecht[[#This Row],[Geschlecht (Skala)]]="",Q$16=""),"",MID(Geschlecht[[#This Row],[Geschlecht (Skala)]],1,1)&amp;MID(Q$16,1,1))</f>
        <v/>
      </c>
      <c r="U46" s="190" t="str">
        <f>IF(OR(T46="",AchtzigmLaufResultat[[#This Row],[Resultat]]=""),"",REPLACE(INDEX(StdDisziplinen[TabÜberschriftResultat],Q$3),FIND("X",INDEX(StdDisziplinen[TabÜberschriftResultat],Q$3),1),2,T46))</f>
        <v/>
      </c>
      <c r="V46" s="45" t="str">
        <f ca="1">IF(U46="","",IF(OR(AchtzigmLaufResultat[[#This Row],[Resultat]]=Stammdaten!$AX$22,AchtzigmLaufResultat[[#This Row],[Resultat]]=Stammdaten!$AX$19),Stammdaten!$AX$19,IF(ISNA(INDEX(INDIRECT(U46),MATCH(AchtzigmLaufGerundet[[#This Row],[Rundung]],INDIRECT(U46),U$18))),IF(U$18=-1,LARGE(INDIRECT(U46),1),SMALL(INDIRECT(U46),1)),INDEX(INDIRECT(U46),MATCH(AchtzigmLaufGerundet[[#This Row],[Rundung]],INDIRECT(U46),U$18)))))</f>
        <v/>
      </c>
      <c r="X46" s="18" t="str">
        <f ca="1">IF(AchtzigmLaufSkalawert[[#This Row],[Skala-Wert]]="","",REPLACE(INDEX(StdDisziplinen[TabÜberschriftNote],Q$3),FIND("X",INDEX(StdDisziplinen[TabÜberschriftNote],Q$3),1),2,T46))</f>
        <v/>
      </c>
      <c r="Y46" s="31" t="str">
        <f ca="1">IF(OR(X46="",AchtzigmLaufSkalawert[[#This Row],[Skala-Wert]]=Stammdaten!$AX$19),"",INDEX(INDIRECT(X46),MATCH(AchtzigmLaufSkalawert[[#This Row],[Skala-Wert]],INDIRECT(U46),0)))</f>
        <v/>
      </c>
      <c r="Z46" s="31"/>
      <c r="AA46" s="37"/>
      <c r="AB46" s="190"/>
      <c r="AC46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6" s="191" t="str">
        <f>IF(OR(Geschlecht[[#This Row],[Geschlecht (Skala)]]="",AA$16=""),"",MID(Geschlecht[[#This Row],[Geschlecht (Skala)]],1,1)&amp;MID(AA$16,1,1))</f>
        <v/>
      </c>
      <c r="AE46" s="190" t="str">
        <f>IF(OR(AD46="",ZwölfMinLaufHalleResultat[[#This Row],[Resultat]]=""),"",REPLACE(INDEX(StdDisziplinen[TabÜberschriftResultat],AA$3),FIND("X",INDEX(StdDisziplinen[TabÜberschriftResultat],AA$3),1),2,AD46))</f>
        <v/>
      </c>
      <c r="AF46" s="31" t="str">
        <f ca="1">IF(AE46="","",IF(OR(ZwölfMinLaufHalleResultat[[#This Row],[Resultat]]=Stammdaten!$AX$22,ZwölfMinLaufHalleResultat[[#This Row],[Resultat]]=Stammdaten!$AX$19),Stammdaten!$AX$19,IF(ISNA(INDEX(INDIRECT(AE46),MATCH(ZwölfMinLaufHalleGerundet[[#This Row],[Rundung]],INDIRECT(AE46),AE$18))),IF(AE$18=-1,LARGE(INDIRECT(AE46),1),SMALL(INDIRECT(AE46),1)),INDEX(INDIRECT(AE46),MATCH(ZwölfMinLaufHalleGerundet[[#This Row],[Rundung]],INDIRECT(AE46),AE$18)))))</f>
        <v/>
      </c>
      <c r="AH46" s="18" t="str">
        <f ca="1">IF(ZwölfMinLaufHalleSkalawert[[#This Row],[Skala-Wert]]="","",REPLACE(INDEX(StdDisziplinen[TabÜberschriftNote],AA$3),FIND("X",INDEX(StdDisziplinen[TabÜberschriftNote],AA$3),1),2,AD46))</f>
        <v/>
      </c>
      <c r="AI46" s="31" t="str">
        <f ca="1">IF(OR(AH46="",ZwölfMinLaufHalleSkalawert[[#This Row],[Skala-Wert]]=Stammdaten!$AX$19),"",INDEX(INDIRECT(AH46),MATCH(ZwölfMinLaufHalleSkalawert[[#This Row],[Skala-Wert]],INDIRECT(AE46),0)))</f>
        <v/>
      </c>
      <c r="AJ46" s="31"/>
      <c r="AK46" s="597"/>
      <c r="AL46" s="190"/>
      <c r="AM46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6" s="191" t="str">
        <f>IF(OR(Geschlecht[[#This Row],[Geschlecht (Skala)]]="",AK$16=""),"",MID(Geschlecht[[#This Row],[Geschlecht (Skala)]],1,1)&amp;MID(AK$16,1,1))</f>
        <v/>
      </c>
      <c r="AO46" s="190" t="str">
        <f>IF(OR(AN46="",ZwölfMinLaufimFreienResultat[[#This Row],[Resultat]]=""),"",REPLACE(INDEX(StdDisziplinen[TabÜberschriftResultat],AK$3),FIND("X",INDEX(StdDisziplinen[TabÜberschriftResultat],AK$3),1),2,AN46))</f>
        <v/>
      </c>
      <c r="AP46" s="192" t="str">
        <f ca="1">IF(AO46="","",IF(OR(ZwölfMinLaufimFreienResultat[[#This Row],[Resultat]]=Stammdaten!$AX$22,ZwölfMinLaufimFreienResultat[[#This Row],[Resultat]]=Stammdaten!$AX$19),Stammdaten!$AX$19,IF(ISNA(INDEX(INDIRECT(AO46),MATCH(ZwölfMinLaufimFreienGerundet[[#This Row],[Rundung]],INDIRECT(AO46),AO$18))),IF(AO$18=-1,LARGE(INDIRECT(AO46),1),SMALL(INDIRECT(AO46),1)),INDEX(INDIRECT(AO46),MATCH(ZwölfMinLaufimFreienGerundet[[#This Row],[Rundung]],INDIRECT(AO46),AO$18)))))</f>
        <v/>
      </c>
      <c r="AR46" s="18" t="str">
        <f ca="1">IF(ZwölfMinLaufimFreienSkalawert[[#This Row],[Skala-Wert]]="","",REPLACE(INDEX(StdDisziplinen[TabÜberschriftNote],AK$3),FIND("X",INDEX(StdDisziplinen[TabÜberschriftNote],AK$3),1),2,AN46))</f>
        <v/>
      </c>
      <c r="AS46" s="31" t="str">
        <f ca="1">IF(OR(AR46="",ZwölfMinLaufimFreienSkalawert[[#This Row],[Skala-Wert]]=Stammdaten!$AX$19),"",INDEX(INDIRECT(AR46),MATCH(ZwölfMinLaufimFreienSkalawert[[#This Row],[Skala-Wert]],INDIRECT(AO46),0)))</f>
        <v/>
      </c>
      <c r="AT46" s="31"/>
      <c r="AU46" s="597"/>
      <c r="AV46" s="190"/>
      <c r="AW46" s="587">
        <f>IF(AW$16,IF(AX$16=0.5,MROUND(HochsprungResultat[[#This Row],[Resultat]],AX$16),ROUND(HochsprungResultat[[#This Row],[Resultat]],AX$16)),ROUNDDOWN(HochsprungResultat[[#This Row],[Resultat]],AX$16))</f>
        <v>0</v>
      </c>
      <c r="AX46" s="191" t="str">
        <f>IF(OR(Geschlecht[[#This Row],[Geschlecht (Skala)]]="",AU$16=""),"",MID(Geschlecht[[#This Row],[Geschlecht (Skala)]],1,1)&amp;MID(AU$16,1,1))</f>
        <v/>
      </c>
      <c r="AY46" s="190" t="str">
        <f>IF(OR(AX46="",HochsprungResultat[[#This Row],[Resultat]]=""),"",REPLACE(INDEX(StdDisziplinen[TabÜberschriftResultat],AU$3),FIND("X",INDEX(StdDisziplinen[TabÜberschriftResultat],AU$3),1),2,AX46))</f>
        <v/>
      </c>
      <c r="AZ46" s="192" t="str">
        <f ca="1">IF(AY46="","",IF(OR(HochsprungResultat[[#This Row],[Resultat]]=Stammdaten!$AX$22,HochsprungResultat[[#This Row],[Resultat]]=Stammdaten!$AX$19),Stammdaten!$AX$19,IF(ISNA(INDEX(INDIRECT(AY46),MATCH(HochsprungGerundet[[#This Row],[Rundung]],INDIRECT(AY46),AY$18))),IF(AY$18=-1,LARGE(INDIRECT(AY46),1),SMALL(INDIRECT(AY46),1)),INDEX(INDIRECT(AY46),MATCH(HochsprungGerundet[[#This Row],[Rundung]],INDIRECT(AY46),AY$18)))))</f>
        <v/>
      </c>
      <c r="BB46" s="18" t="str">
        <f ca="1">IF(HochsprungSkalawert[[#This Row],[Skala-Wert]]="","",REPLACE(INDEX(StdDisziplinen[TabÜberschriftNote],AU$3),FIND("X",INDEX(StdDisziplinen[TabÜberschriftNote],AU$3),1),2,AX46))</f>
        <v/>
      </c>
      <c r="BC46" s="31" t="str">
        <f ca="1">IF(OR(BB46="",HochsprungSkalawert[[#This Row],[Skala-Wert]]=Stammdaten!$AX$19),"",INDEX(INDIRECT(BB46),MATCH(HochsprungSkalawert[[#This Row],[Skala-Wert]],INDIRECT(AY46),0)))</f>
        <v/>
      </c>
      <c r="BD46" s="31"/>
      <c r="BE46" s="597"/>
      <c r="BF46" s="190"/>
      <c r="BG46" s="587">
        <f>IF(BG$16,IF(BH$16=0.5,MROUND(WeitsprungResultat[[#This Row],[Resultat]],BH$16),ROUND(WeitsprungResultat[[#This Row],[Resultat]],BH$16)),ROUNDDOWN(WeitsprungResultat[[#This Row],[Resultat]],BH$16))</f>
        <v>0</v>
      </c>
      <c r="BH46" s="191" t="str">
        <f>IF(OR(Geschlecht[[#This Row],[Geschlecht (Skala)]]="",BE$16=""),"",MID(Geschlecht[[#This Row],[Geschlecht (Skala)]],1,1)&amp;MID(BE$16,1,1))</f>
        <v/>
      </c>
      <c r="BI46" s="190" t="str">
        <f>IF(OR(BH46="",WeitsprungResultat[[#This Row],[Resultat]]=""),"",REPLACE(INDEX(StdDisziplinen[TabÜberschriftResultat],BE$3),FIND("X",INDEX(StdDisziplinen[TabÜberschriftResultat],BE$3),1),2,BH46))</f>
        <v/>
      </c>
      <c r="BJ46" s="192" t="str">
        <f ca="1">IF(BI46="","",IF(OR(WeitsprungResultat[[#This Row],[Resultat]]=Stammdaten!$AX$22,WeitsprungResultat[[#This Row],[Resultat]]=Stammdaten!$AX$19),Stammdaten!$AX$19,IF(ISNA(INDEX(INDIRECT(BI46),MATCH(WeitsprungGerundet[[#This Row],[Rundung]],INDIRECT(BI46),BI$18))),IF(BI$18=-1,LARGE(INDIRECT(BI46),1),SMALL(INDIRECT(BI46),1)),INDEX(INDIRECT(BI46),MATCH(WeitsprungGerundet[[#This Row],[Rundung]],INDIRECT(BI46),BI$18)))))</f>
        <v/>
      </c>
      <c r="BL46" s="18" t="str">
        <f ca="1">IF(WeitsprungSkalawert[[#This Row],[Skala-Wert]]="","",REPLACE(INDEX(StdDisziplinen[TabÜberschriftNote],BE$3),FIND("X",INDEX(StdDisziplinen[TabÜberschriftNote],BE$3),1),2,BH46))</f>
        <v/>
      </c>
      <c r="BM46" s="31" t="str">
        <f ca="1">IF(OR(BL46="",WeitsprungSkalawert[[#This Row],[Skala-Wert]]=Stammdaten!$AX$19),"",INDEX(INDIRECT(BL46),MATCH(WeitsprungSkalawert[[#This Row],[Skala-Wert]],INDIRECT(BI46),0)))</f>
        <v/>
      </c>
      <c r="BN46" s="31"/>
      <c r="BO46" s="37"/>
      <c r="BP46" s="190"/>
      <c r="BQ46" s="154">
        <f>IF(BQ$16,IF(BR$16=0.5,MROUND(BallwurfResultat[[#This Row],[Resultat]],BR$16),ROUND(BallwurfResultat[[#This Row],[Resultat]],BR$16)),ROUNDDOWN(BallwurfResultat[[#This Row],[Resultat]],BR$16))</f>
        <v>0</v>
      </c>
      <c r="BR46" s="191" t="str">
        <f>IF(OR(Geschlecht[[#This Row],[Geschlecht (Skala)]]="",BO$16=""),"",MID(Geschlecht[[#This Row],[Geschlecht (Skala)]],1,1)&amp;MID(BO$16,1,1))</f>
        <v/>
      </c>
      <c r="BS46" s="190" t="str">
        <f>IF(OR(BR46="",BallwurfResultat[[#This Row],[Resultat]]=""),"",REPLACE(INDEX(StdDisziplinen[TabÜberschriftResultat],BO$3),FIND("X",INDEX(StdDisziplinen[TabÜberschriftResultat],BO$3),1),2,BR46))</f>
        <v/>
      </c>
      <c r="BT46" s="45" t="str">
        <f ca="1">IF(BS46="","",IF(OR(BallwurfResultat[[#This Row],[Resultat]]=Stammdaten!$AX$22,BallwurfResultat[[#This Row],[Resultat]]=Stammdaten!$AX$19),Stammdaten!$AX$19,IF(ISNA(INDEX(INDIRECT(BS46),MATCH(BallwurfGerundet[[#This Row],[Rundung]],INDIRECT(BS46),BS$18))),IF(BS$18=-1,LARGE(INDIRECT(BS46),1),SMALL(INDIRECT(BS46),1)),INDEX(INDIRECT(BS46),MATCH(BallwurfGerundet[[#This Row],[Rundung]],INDIRECT(BS46),BS$18)))))</f>
        <v/>
      </c>
      <c r="BV46" s="18" t="str">
        <f ca="1">IF(BallwurfSkalawert[[#This Row],[Skala-Wert]]="","",REPLACE(INDEX(StdDisziplinen[TabÜberschriftNote],BO$3),FIND("X",INDEX(StdDisziplinen[TabÜberschriftNote],BO$3),1),2,BR46))</f>
        <v/>
      </c>
      <c r="BW46" s="31" t="str">
        <f ca="1">IF(OR(BV46="",BallwurfSkalawert[[#This Row],[Skala-Wert]]=Stammdaten!$AX$19),"",INDEX(INDIRECT(BV46),MATCH(BallwurfSkalawert[[#This Row],[Skala-Wert]],INDIRECT(BS46),0)))</f>
        <v/>
      </c>
      <c r="BX46" s="31"/>
      <c r="BY46" s="598"/>
      <c r="BZ46" s="190"/>
      <c r="CA46" s="154">
        <f>IF(CA$16,IF(CB$16=0.5,MROUND(KugelstossenResultat[[#This Row],[Resultat]],CB$16),ROUND(KugelstossenResultat[[#This Row],[Resultat]],CB$16)),ROUNDDOWN(KugelstossenResultat[[#This Row],[Resultat]],CB$16))</f>
        <v>0</v>
      </c>
      <c r="CB46" s="191" t="str">
        <f>IF(OR(Geschlecht[[#This Row],[Geschlecht (Skala)]]="",BY$16=""),"",MID(Geschlecht[[#This Row],[Geschlecht (Skala)]],1,1)&amp;MID(BY$16,1,1))</f>
        <v/>
      </c>
      <c r="CC46" s="190" t="str">
        <f>IF(OR(CB46="",KugelstossenResultat[[#This Row],[Resultat]]=""),"",REPLACE(INDEX(StdDisziplinen[TabÜberschriftResultat],BY$3),FIND("X",INDEX(StdDisziplinen[TabÜberschriftResultat],BY$3),1),2,CB46))</f>
        <v/>
      </c>
      <c r="CD46" s="45" t="str">
        <f ca="1">IF(CC46="","",IF(OR(KugelstossenResultat[[#This Row],[Resultat]]=Stammdaten!$AX$22,KugelstossenResultat[[#This Row],[Resultat]]=Stammdaten!$AX$19),Stammdaten!$AX$19,IF(ISNA(INDEX(INDIRECT(CC46),MATCH(KugelstossenGerundet[[#This Row],[Rundung]],INDIRECT(CC46),CC$18))),IF(CC$18=-1,LARGE(INDIRECT(CC46),1),SMALL(INDIRECT(CC46),1)),INDEX(INDIRECT(CC46),MATCH(KugelstossenGerundet[[#This Row],[Rundung]],INDIRECT(CC46),CC$18)))))</f>
        <v/>
      </c>
      <c r="CF46" s="18" t="str">
        <f ca="1">IF(KugelstossenSkalawert[[#This Row],[Skala-Wert]]="","",REPLACE(INDEX(StdDisziplinen[TabÜberschriftNote],BY$3),FIND("X",INDEX(StdDisziplinen[TabÜberschriftNote],BY$3),1),2,CB46))</f>
        <v/>
      </c>
      <c r="CG46" s="31" t="str">
        <f ca="1">IF(OR(CF46="",KugelstossenSkalawert[[#This Row],[Skala-Wert]]=Stammdaten!$AX$19),"",INDEX(INDIRECT(CF46),MATCH(KugelstossenSkalawert[[#This Row],[Skala-Wert]],INDIRECT(CC46),0)))</f>
        <v/>
      </c>
      <c r="CH46" s="31"/>
      <c r="CI46" s="37"/>
      <c r="CJ46" s="190"/>
      <c r="CK46" s="154">
        <f>IF(CK$16,IF(CL$16=0.5,MROUND(SpeerwurfResultat[[#This Row],[Resultat]],CL$16),ROUND(SpeerwurfResultat[[#This Row],[Resultat]],CL$16)),ROUNDDOWN(SpeerwurfResultat[[#This Row],[Resultat]],CL$16))</f>
        <v>0</v>
      </c>
      <c r="CL46" s="191" t="str">
        <f>IF(OR(Geschlecht[[#This Row],[Geschlecht (Skala)]]="",CI$16=""),"",MID(Geschlecht[[#This Row],[Geschlecht (Skala)]],1,1)&amp;MID(CI$16,1,1))</f>
        <v/>
      </c>
      <c r="CM46" s="190" t="str">
        <f>IF(OR(CL46="",SpeerwurfResultat[[#This Row],[Resultat]]=""),"",REPLACE(INDEX(StdDisziplinen[TabÜberschriftResultat],CI$3),FIND("X",INDEX(StdDisziplinen[TabÜberschriftResultat],CI$3),1),2,CL46))</f>
        <v/>
      </c>
      <c r="CN46" s="45" t="str">
        <f ca="1">IF(CM46="","",IF(OR(SpeerwurfResultat[[#This Row],[Resultat]]=Stammdaten!$AX$22,SpeerwurfResultat[[#This Row],[Resultat]]=Stammdaten!$AX$19),Stammdaten!$AX$19,IF(ISNA(INDEX(INDIRECT(CM46),MATCH(SpeerwurfGerundet[[#This Row],[Rundung]],INDIRECT(CM46),CM$18))),IF(CM$18=-1,LARGE(INDIRECT(CM46),1),SMALL(INDIRECT(CM46),1)),INDEX(INDIRECT(CM46),MATCH(SpeerwurfGerundet[[#This Row],[Rundung]],INDIRECT(CM46),CM$18)))))</f>
        <v/>
      </c>
      <c r="CP46" s="18" t="str">
        <f ca="1">IF(SpeerwurfSkalawert[[#This Row],[Skala-Wert]]="","",REPLACE(INDEX(StdDisziplinen[TabÜberschriftNote],CI$3),FIND("X",INDEX(StdDisziplinen[TabÜberschriftNote],CI$3),1),2,CL46))</f>
        <v/>
      </c>
      <c r="CQ46" s="31" t="str">
        <f ca="1">IF(OR(CP46="",SpeerwurfSkalawert[[#This Row],[Skala-Wert]]=Stammdaten!$AX$19),"",INDEX(INDIRECT(CP46),MATCH(SpeerwurfSkalawert[[#This Row],[Skala-Wert]],INDIRECT(CM46),0)))</f>
        <v/>
      </c>
      <c r="CR46" s="31"/>
      <c r="CS46" s="31" t="str">
        <f t="shared" ca="1" si="50"/>
        <v/>
      </c>
      <c r="CT46" s="31" t="str">
        <f t="shared" ca="1" si="50"/>
        <v/>
      </c>
      <c r="CU46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Row],[Skala-Wert]])&gt;0,MAX(CS46:CT46),99))</f>
        <v>Keine Note</v>
      </c>
      <c r="CV46" s="202" t="str">
        <f t="shared" ca="1" si="51"/>
        <v/>
      </c>
      <c r="CW46" s="202" t="str">
        <f ca="1">IF(CV46=$A$2,CS$10&amp;Stammdaten!$AX$25,IF(CU46=INDEX(StdFehler[],3),CS$10&amp;Stammdaten!$AX$27,INDEX(INDIRECT($B$4),MATCH(CV46,INDIRECT($B$5),0))))</f>
        <v>Sprintdisziplinen nicht durchgeführt</v>
      </c>
      <c r="CX46" s="202" t="str">
        <f ca="1">IFERROR(INDEX(INDIRECT(CX$12),MATCH(CV46,StdDisziplinen[ID],0)),"")</f>
        <v/>
      </c>
      <c r="CY46" s="202" t="e">
        <f t="shared" ca="1" si="52"/>
        <v>#N/A</v>
      </c>
      <c r="CZ46" s="202" t="e">
        <f t="shared" ca="1" si="53"/>
        <v>#N/A</v>
      </c>
      <c r="DA46" s="98" t="str">
        <f t="shared" ca="1" si="223"/>
        <v/>
      </c>
      <c r="DB46" s="202" t="e">
        <f t="shared" ca="1" si="54"/>
        <v>#N/A</v>
      </c>
      <c r="DC46" s="202" t="str">
        <f t="shared" ca="1" si="55"/>
        <v/>
      </c>
      <c r="DD46" s="31" t="str">
        <f t="shared" ca="1" si="56"/>
        <v/>
      </c>
      <c r="DE46" s="31" t="str">
        <f t="shared" ca="1" si="56"/>
        <v/>
      </c>
      <c r="DF46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Row],[Skala-Wert]])&gt;0,MAX(DD46:DE46),99))</f>
        <v>Keine Note</v>
      </c>
      <c r="DG46" s="202" t="str">
        <f t="shared" ca="1" si="57"/>
        <v/>
      </c>
      <c r="DH46" s="202" t="str">
        <f ca="1">IF(DG46=$A$2,DD$10&amp;Stammdaten!$AX$25,IF(DF46=INDEX(StdFehler[],3),DD$10&amp;Stammdaten!$AX$27,INDEX(INDIRECT($B$4),MATCH(DG46,INDIRECT($B$5),0))))</f>
        <v>Ausdauerdisziplinen nicht durchgeführt</v>
      </c>
      <c r="DI46" s="202" t="str">
        <f ca="1">IFERROR(INDEX(INDIRECT(DI$12),MATCH(DG46,StdDisziplinen[ID],0)),"")</f>
        <v/>
      </c>
      <c r="DJ46" s="202" t="e">
        <f t="shared" ca="1" si="58"/>
        <v>#N/A</v>
      </c>
      <c r="DK46" s="202" t="e">
        <f t="shared" ca="1" si="59"/>
        <v>#N/A</v>
      </c>
      <c r="DL46" s="96" t="str">
        <f t="shared" ca="1" si="60"/>
        <v/>
      </c>
      <c r="DM46" s="202" t="e">
        <f t="shared" ca="1" si="61"/>
        <v>#N/A</v>
      </c>
      <c r="DN46" s="202" t="str">
        <f t="shared" ca="1" si="62"/>
        <v/>
      </c>
      <c r="DO46" s="31" t="str">
        <f t="shared" ca="1" si="63"/>
        <v/>
      </c>
      <c r="DP46" s="31" t="str">
        <f t="shared" ca="1" si="63"/>
        <v/>
      </c>
      <c r="DQ46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Row],[Skala-Wert]])&gt;0,MAX(DO46:DP46),99))</f>
        <v>Keine Note</v>
      </c>
      <c r="DR46" s="202" t="str">
        <f t="shared" ca="1" si="64"/>
        <v/>
      </c>
      <c r="DS46" s="202" t="str">
        <f ca="1">IF(DR46=$A$2,DO$10&amp;Stammdaten!$AX$25,IF(DQ46=INDEX(StdFehler[],3),DO$10&amp;Stammdaten!$AX$27,INDEX(INDIRECT($B$4),MATCH(DR46,INDIRECT($B$5),0))))</f>
        <v>Sprungdisziplinen nicht durchgeführt</v>
      </c>
      <c r="DT46" s="202" t="str">
        <f ca="1">IFERROR(INDEX(INDIRECT(DT$12),MATCH(DR46,StdDisziplinen[ID],0)),"")</f>
        <v/>
      </c>
      <c r="DU46" s="202" t="e">
        <f t="shared" ca="1" si="65"/>
        <v>#N/A</v>
      </c>
      <c r="DV46" s="202" t="e">
        <f t="shared" ca="1" si="66"/>
        <v>#N/A</v>
      </c>
      <c r="DW46" s="202" t="str">
        <f t="shared" ca="1" si="67"/>
        <v/>
      </c>
      <c r="DX46" s="202" t="e">
        <f t="shared" ca="1" si="68"/>
        <v>#N/A</v>
      </c>
      <c r="DY46" s="202" t="str">
        <f t="shared" ca="1" si="69"/>
        <v/>
      </c>
      <c r="DZ46" s="31" t="str">
        <f ca="1">IF(BallwurfSkalawert[[#This Row],[Skala-Wert]]=$A$3,$A$2,IF(ISNUMBER(BallwurfSkalawert[[#This Row],[Skala-Wert]]),BallwurfNote[[#This Row],[Note]],"!"))</f>
        <v>!</v>
      </c>
      <c r="EA46" s="31" t="str">
        <f ca="1">IF(KugelstossenSkalawert[[#This Row],[Skala-Wert]]=$A$3,$A$2,IF(ISNUMBER(KugelstossenSkalawert[[#This Row],[Skala-Wert]]),KugelstossenNote[[#This Row],[Note]],"!"))</f>
        <v>!</v>
      </c>
      <c r="EB46" s="31" t="str">
        <f ca="1">IF(SpeerwurfSkalawert[[#This Row],[Skala-Wert]]=$A$3,$A$2,IF(ISNUMBER(SpeerwurfSkalawert[[#This Row],[Skala-Wert]]),SpeerwurfNote[[#This Row],[Note]],"!"))</f>
        <v>!</v>
      </c>
      <c r="EC46" s="95" t="str">
        <f ca="1">IF(ED46&gt;0,MAX(DZ46:EB46),IF(EE46&gt;0,99,INDEX(StdFehler[StdFehler],3)))</f>
        <v>Keine Note</v>
      </c>
      <c r="ED46" s="202">
        <f t="shared" ca="1" si="70"/>
        <v>0</v>
      </c>
      <c r="EE46" s="202">
        <f t="shared" ca="1" si="71"/>
        <v>0</v>
      </c>
      <c r="EF46" s="202" t="str">
        <f t="shared" ca="1" si="72"/>
        <v/>
      </c>
      <c r="EG46" s="202" t="str">
        <f ca="1">IF(EF46=$A$2,DZ$10&amp;Stammdaten!$AX$25,IF(EC46=INDEX(StdFehler[],3),DZ$10&amp;Stammdaten!$AX$27,INDEX(INDIRECT($B$4),MATCH(EF46,INDIRECT($B$5),0))))</f>
        <v>Wurfdisziplinen nicht durchgeführt</v>
      </c>
      <c r="EH46" s="202" t="str">
        <f ca="1">IFERROR(INDEX(INDIRECT(EH$12),MATCH(EF46,StdDisziplinen[ID],0)),"")</f>
        <v/>
      </c>
      <c r="EI46" s="202" t="e">
        <f t="shared" ca="1" si="73"/>
        <v>#N/A</v>
      </c>
      <c r="EJ46" s="202" t="e">
        <f t="shared" ca="1" si="74"/>
        <v>#N/A</v>
      </c>
      <c r="EK46" s="98" t="str">
        <f t="shared" ca="1" si="75"/>
        <v/>
      </c>
      <c r="EL46" s="202" t="e">
        <f t="shared" ca="1" si="76"/>
        <v>#N/A</v>
      </c>
      <c r="EM46" s="202" t="str">
        <f t="shared" ca="1" si="77"/>
        <v/>
      </c>
      <c r="EN46" s="200">
        <f t="shared" ca="1" si="1"/>
        <v>0</v>
      </c>
      <c r="EO46" s="202">
        <f t="shared" ca="1" si="78"/>
        <v>0</v>
      </c>
      <c r="EP46" s="96">
        <f t="shared" ca="1" si="2"/>
        <v>0</v>
      </c>
      <c r="EQ46" s="96">
        <f t="shared" ca="1" si="3"/>
        <v>0</v>
      </c>
      <c r="ER46" s="96">
        <f t="shared" ca="1" si="4"/>
        <v>0</v>
      </c>
      <c r="ES46" s="96">
        <f t="shared" ca="1" si="5"/>
        <v>0</v>
      </c>
      <c r="ET46" s="202">
        <f t="shared" ca="1" si="79"/>
        <v>0</v>
      </c>
      <c r="EU46" s="202" t="str">
        <f ca="1">IF($EO46=$FA$4,Stammdaten!$AX$19,IF(COUNTIF($EP46:$ES46,0)&lt;&gt;0,INDEX(StdFehler[StdFehler],4),ROUND(SUM($ET46/$EN46)/$FC$4,0)*$FC$4))</f>
        <v>Zu wenige Noten</v>
      </c>
      <c r="EV46" s="202" t="str">
        <f t="shared" ca="1" si="6"/>
        <v>Zu wenige Noten</v>
      </c>
      <c r="EW46" s="202" t="str">
        <f t="shared" ca="1" si="80"/>
        <v>Zu wenige Noten</v>
      </c>
      <c r="EX46" s="202" t="str">
        <f t="shared" ca="1" si="80"/>
        <v>Zu wenige Noten</v>
      </c>
      <c r="EY46" s="202" t="str">
        <f t="shared" ca="1" si="80"/>
        <v>Zu wenige Noten</v>
      </c>
      <c r="EZ46" s="202" t="str">
        <f t="shared" ca="1" si="81"/>
        <v>Zu wenige Noten</v>
      </c>
      <c r="FA46" s="202" t="str">
        <f t="shared" ca="1" si="82"/>
        <v>Zu wenige Noten</v>
      </c>
      <c r="FB46" s="31"/>
      <c r="FC46" s="56" t="str">
        <f t="shared" ca="1" si="83"/>
        <v>Zu wenige Noten</v>
      </c>
      <c r="FD46" s="31"/>
      <c r="FE46" s="597"/>
      <c r="FF46" s="190"/>
      <c r="FJ46" s="31"/>
      <c r="FK46" s="597"/>
      <c r="FL46" s="190"/>
      <c r="FP46" s="31"/>
      <c r="FQ46" s="597"/>
      <c r="FR46" s="190"/>
      <c r="FV46" s="31"/>
      <c r="FW46" s="597"/>
      <c r="FX46" s="190"/>
      <c r="GB46" s="31"/>
      <c r="GC46" s="597"/>
      <c r="GD46" s="190"/>
      <c r="GF46" s="154"/>
      <c r="GH46" s="31"/>
      <c r="GI46" s="597"/>
      <c r="GJ46" s="190"/>
      <c r="GN46" s="45"/>
      <c r="GO46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6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6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6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6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6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6" s="202">
        <f t="shared" si="7"/>
        <v>0</v>
      </c>
      <c r="GV46" s="202">
        <f t="shared" si="8"/>
        <v>0</v>
      </c>
      <c r="GW46" s="202">
        <f t="shared" si="84"/>
        <v>0</v>
      </c>
      <c r="GX46" s="200" t="str">
        <f t="shared" si="85"/>
        <v>!</v>
      </c>
      <c r="GY46" s="200" t="str">
        <f t="shared" si="9"/>
        <v>!</v>
      </c>
      <c r="GZ46" s="200" t="str">
        <f t="shared" si="10"/>
        <v>!</v>
      </c>
      <c r="HA46" s="244" t="str">
        <f t="shared" si="86"/>
        <v>nd</v>
      </c>
      <c r="HB46" s="244" t="str">
        <f t="shared" si="87"/>
        <v>nd</v>
      </c>
      <c r="HC46" s="244" t="str">
        <f t="shared" si="88"/>
        <v>nd</v>
      </c>
      <c r="HD46" s="244" t="str">
        <f t="shared" si="89"/>
        <v>nd</v>
      </c>
      <c r="HE46" s="244" t="str">
        <f t="shared" si="90"/>
        <v>nd</v>
      </c>
      <c r="HF46" s="244" t="str">
        <f t="shared" si="91"/>
        <v>nd</v>
      </c>
      <c r="HG46" s="202" t="b">
        <f t="shared" si="92"/>
        <v>0</v>
      </c>
      <c r="HH46" s="202">
        <f t="shared" si="93"/>
        <v>1</v>
      </c>
      <c r="HI46" s="202">
        <f t="shared" si="94"/>
        <v>0</v>
      </c>
      <c r="HJ46" s="200" t="str">
        <f t="shared" si="95"/>
        <v/>
      </c>
      <c r="HK46" s="200" t="str">
        <f t="shared" si="96"/>
        <v/>
      </c>
      <c r="HL46" s="200">
        <f t="shared" si="97"/>
        <v>0</v>
      </c>
      <c r="HM46" s="202" t="str">
        <f t="shared" si="98"/>
        <v/>
      </c>
      <c r="HN46" s="200" t="str">
        <f t="shared" si="99"/>
        <v/>
      </c>
      <c r="HO46" s="200" t="str">
        <f t="shared" si="100"/>
        <v/>
      </c>
      <c r="HP46" s="200" t="str">
        <f t="shared" si="101"/>
        <v/>
      </c>
      <c r="HQ46" s="242" t="str">
        <f t="shared" si="102"/>
        <v/>
      </c>
      <c r="HR46" s="242" t="str">
        <f t="shared" si="103"/>
        <v/>
      </c>
      <c r="HS46" s="242" t="str">
        <f t="shared" si="104"/>
        <v/>
      </c>
      <c r="HT46" s="242" t="str">
        <f t="shared" ca="1" si="105"/>
        <v>Erstes Gerät</v>
      </c>
      <c r="HU46" s="242" t="str">
        <f ca="1">IF(HT46=$HS$12,Stammdaten!$AY$27,IF(HW46=$A$2,TRIM(Stammdaten!$AX$25),""))</f>
        <v>nicht durchgeführt</v>
      </c>
      <c r="HV46" s="242" t="str">
        <f t="shared" ca="1" si="106"/>
        <v/>
      </c>
      <c r="HW46" s="277" t="str">
        <f t="shared" si="11"/>
        <v/>
      </c>
      <c r="HX46" s="202" t="str">
        <f t="shared" si="107"/>
        <v/>
      </c>
      <c r="HY46" s="202" t="str">
        <f t="shared" ca="1" si="108"/>
        <v/>
      </c>
      <c r="HZ46" s="202" t="str">
        <f t="shared" ca="1" si="109"/>
        <v>StdDisziplinen[MaxTextSt]</v>
      </c>
      <c r="IA46" s="202" t="str">
        <f t="shared" ca="1" si="12"/>
        <v/>
      </c>
      <c r="IB46" s="202" t="b">
        <f t="shared" si="110"/>
        <v>0</v>
      </c>
      <c r="IC46" s="202" t="str">
        <f t="shared" si="111"/>
        <v/>
      </c>
      <c r="ID46" s="202" t="str">
        <f t="shared" si="112"/>
        <v/>
      </c>
      <c r="IE46" s="202" t="str">
        <f t="shared" si="113"/>
        <v/>
      </c>
      <c r="IF46" s="202" t="str">
        <f t="shared" si="114"/>
        <v/>
      </c>
      <c r="IG46" s="242" t="str">
        <f t="shared" si="115"/>
        <v/>
      </c>
      <c r="IH46" s="242" t="str">
        <f t="shared" si="116"/>
        <v/>
      </c>
      <c r="II46" s="242" t="str">
        <f t="shared" ca="1" si="13"/>
        <v>Zweites Gerät</v>
      </c>
      <c r="IJ46" s="242" t="str">
        <f ca="1">IF(II46=$IH$12,Stammdaten!$AY$27,IF(IL46=$A$2,TRIM(Stammdaten!$AX$25),""))</f>
        <v>nicht durchgeführt</v>
      </c>
      <c r="IK46" s="242" t="str">
        <f t="shared" ca="1" si="117"/>
        <v/>
      </c>
      <c r="IL46" s="200" t="str">
        <f t="shared" si="14"/>
        <v/>
      </c>
      <c r="IM46" s="202" t="str">
        <f t="shared" si="118"/>
        <v/>
      </c>
      <c r="IN46" s="202" t="str">
        <f t="shared" ca="1" si="119"/>
        <v/>
      </c>
      <c r="IO46" s="202" t="str">
        <f t="shared" ca="1" si="120"/>
        <v>StdDisziplinen[MaxTextSt]</v>
      </c>
      <c r="IP46" s="202" t="str">
        <f t="shared" ca="1" si="121"/>
        <v/>
      </c>
      <c r="IQ46" s="202" t="b">
        <f t="shared" si="122"/>
        <v>0</v>
      </c>
      <c r="IR46" s="242" t="str">
        <f t="shared" ca="1" si="15"/>
        <v>Drittes Gerät</v>
      </c>
      <c r="IS46" s="242" t="str">
        <f ca="1">IF(IR46=$IR$12,MID(Stammdaten!$AX$27,2,LEN(Stammdaten!$AX$27)),IF(IU46=$A$2,TRIM(Stammdaten!$AX$25),""))</f>
        <v>nicht durchgeführt</v>
      </c>
      <c r="IT46" s="242" t="str">
        <f t="shared" ca="1" si="16"/>
        <v/>
      </c>
      <c r="IU46" s="200" t="str">
        <f t="shared" si="17"/>
        <v/>
      </c>
      <c r="IV46" s="202" t="str">
        <f t="shared" si="123"/>
        <v/>
      </c>
      <c r="IW46" s="202" t="str">
        <f t="shared" ca="1" si="124"/>
        <v/>
      </c>
      <c r="IX46" s="202" t="str">
        <f t="shared" ca="1" si="125"/>
        <v>StdDisziplinen[MaxTextSt]</v>
      </c>
      <c r="IY46" s="202" t="str">
        <f t="shared" ca="1" si="18"/>
        <v/>
      </c>
      <c r="IZ46" s="200" t="str">
        <f>IF(NOT(GW46),INDEX(StdFehler[StdFehler],4),IF(COUNTIF(GX46:GZ46,$A$2)&gt;=$IZ$4,$A$3,SUM(GX46:GZ46)))</f>
        <v>Zu wenige Noten</v>
      </c>
      <c r="JA46" s="31"/>
      <c r="JB46" s="587" t="e">
        <f t="shared" si="19"/>
        <v>#VALUE!</v>
      </c>
      <c r="JC46" s="191" t="str">
        <f>IF(OR(Geschlecht[[#This Row],[Geschlecht (Skala)]]="",IZ46=""),"",MID(Geschlecht[[#This Row],[Geschlecht (Skala)]],1,1)&amp;MID($FE$16,1,1))</f>
        <v/>
      </c>
      <c r="JD46" s="190" t="str">
        <f>IF(OR(JC46="",IZ46=""),"",REPLACE(INDEX(StdDisziplinen[TabÜberschriftResultat],$FE$3),FIND("X",INDEX(StdDisziplinen[TabÜberschriftResultat],$FE$3),1),2,JC46))</f>
        <v/>
      </c>
      <c r="JE46" s="192" t="str">
        <f ca="1">IF(OR(JD46="",IZ46=Stammdaten!$AZ$5),"",IF(OR(IZ46=Stammdaten!$AX$22,IZ46=Stammdaten!$AX$19),Stammdaten!$AX$19,IF(ISNA(INDEX(INDIRECT(JD46),MATCH(GeräteturnenGerundet[[#This Row],[Rundung]],INDIRECT(JD46),$JD$16))),IF($JD$16=-1,LARGE(INDIRECT(JD46),1),SMALL(INDIRECT(JD46),1)),INDEX(INDIRECT(JD46),MATCH(GeräteturnenGerundet[[#This Row],[Rundung]],INDIRECT(JD46),$JD$16)))))</f>
        <v/>
      </c>
      <c r="JG46" s="18" t="str">
        <f ca="1">IF(GeräteturnenSkalawert[[#This Row],[Skala-Wert]]="","",REPLACE(INDEX(StdDisziplinen[TabÜberschriftNote],$FE$3),FIND("X",INDEX(StdDisziplinen[TabÜberschriftNote],$FE$3),1),2,JC46))</f>
        <v/>
      </c>
      <c r="JH46" s="45" t="str">
        <f ca="1">IF(OR(JG46="",GeräteturnenSkalawert[[#This Row],[Skala-Wert]]=Stammdaten!$AX$19),"",INDEX(INDIRECT(JG46),MATCH(GeräteturnenSkalawert[[#This Row],[Skala-Wert]],INDIRECT(JD46),0)))</f>
        <v/>
      </c>
      <c r="JI46" s="31"/>
      <c r="JJ46" s="597"/>
      <c r="JK46" s="190"/>
      <c r="JL46" s="587">
        <f>IF(JL$16,IF(JM$16=0.5,MROUND(ParkourResultat[[#This Row],[Resultat]],JM$16),ROUND(ParkourResultat[[#This Row],[Resultat]],JM$16)),ROUNDDOWN(ParkourResultat[[#This Row],[Resultat]],JM$16))</f>
        <v>0</v>
      </c>
      <c r="JM46" s="191" t="str">
        <f>IF(OR(Geschlecht[[#This Row],[Geschlecht (Skala)]]="",JJ$16=""),"",MID(Geschlecht[[#This Row],[Geschlecht (Skala)]],1,1)&amp;MID(JJ$16,1,1))</f>
        <v/>
      </c>
      <c r="JN46" s="190" t="str">
        <f>IF(OR(JM46="",ParkourResultat[[#This Row],[Resultat]]=""),"",REPLACE(INDEX(StdDisziplinen[TabÜberschriftResultat],JJ$3),FIND("X",INDEX(StdDisziplinen[TabÜberschriftResultat],JJ$3),1),2,JM46))</f>
        <v/>
      </c>
      <c r="JO46" s="192" t="str">
        <f ca="1">IF(JN46="","",IF(OR(ParkourResultat[[#This Row],[Resultat]]=Stammdaten!$AX$22,ParkourResultat[[#This Row],[Resultat]]=Stammdaten!$AX$19),Stammdaten!$AX$19,IF(ISNA(INDEX(INDIRECT(JN46),MATCH(ParkourGerundet[[#This Row],[Rundung]],INDIRECT(JN46),JN$18))),IF(JN$18=-1,LARGE(INDIRECT(JN46),1),SMALL(INDIRECT(JN46),1)),INDEX(INDIRECT(JN46),MATCH(ParkourGerundet[[#This Row],[Rundung]],INDIRECT(JN46),JN$18)))))</f>
        <v/>
      </c>
      <c r="JQ46" s="18" t="str">
        <f ca="1">IF(ParkourSkalawert[[#This Row],[Skala-Wert]]="","",REPLACE(INDEX(StdDisziplinen[TabÜberschriftNote],JJ$3),FIND("X",INDEX(StdDisziplinen[TabÜberschriftNote],JJ$3),1),2,JM46))</f>
        <v/>
      </c>
      <c r="JR46" s="31" t="str">
        <f ca="1">IF(OR(JQ46="",ParkourSkalawert[[#This Row],[Skala-Wert]]=Stammdaten!$AX$19),"",INDEX(INDIRECT(JQ46),MATCH(ParkourSkalawert[[#This Row],[Skala-Wert]],INDIRECT(JN46),0)))</f>
        <v/>
      </c>
      <c r="JS46" s="96"/>
      <c r="JT46" s="47" t="str">
        <f ca="1">IF(OR(ISNUMBER(ParkourSkalawert[[#This Row],[Skala-Wert]]),ParkourSkalawert[[#This Row],[Skala-Wert]]=$A$3),INDEX(INDIRECT($JU$1),MATCH($JJ$3,INDIRECT($B$5),0)),"")</f>
        <v/>
      </c>
      <c r="JU46" s="200" t="str">
        <f t="shared" ca="1" si="126"/>
        <v>StdDisziplinen[MaxTextSt]</v>
      </c>
      <c r="JV46" s="200" t="str">
        <f t="shared" ca="1" si="127"/>
        <v/>
      </c>
      <c r="JW46" s="98">
        <f ca="1">IF(GeräteturnenSkalawert[[#This Row],[Skala-Wert]]=$A$3,$A$2,IF(GeräteturnenNote[[#This Row],[Note]]="",0,GeräteturnenNote[[#This Row],[Note]]))</f>
        <v>0</v>
      </c>
      <c r="JX46" s="96">
        <f ca="1">IF(ParkourSkalawert[[#This Row],[Skala-Wert]]=$A$3,$A$2,IF(ParkourNote[[#This Row],[Note]]="",0,ParkourNote[[#This Row],[Note]]))</f>
        <v>0</v>
      </c>
      <c r="JY46" s="200">
        <f t="shared" ca="1" si="128"/>
        <v>0</v>
      </c>
      <c r="JZ46" s="200">
        <f t="shared" ca="1" si="129"/>
        <v>0</v>
      </c>
      <c r="KA46" s="202">
        <f t="shared" ca="1" si="130"/>
        <v>0</v>
      </c>
      <c r="KB46" s="98" t="str">
        <f t="shared" ca="1" si="20"/>
        <v>!</v>
      </c>
      <c r="KC46" s="98" t="str">
        <f t="shared" ca="1" si="21"/>
        <v>!</v>
      </c>
      <c r="KD46" s="202" t="str">
        <f ca="1">IF(NOT(KA46),INDEX(StdFehler[StdFehler],4),IF(JZ46=$KA$12,$A$3,IF(JW46=$A$2,JX46,IF(JX46=$A$2,JW46,CONCATENATE(JW46,", ",JX46)))))</f>
        <v>Zu wenige Noten</v>
      </c>
      <c r="KE46" s="202" t="str">
        <f t="shared" ca="1" si="131"/>
        <v>Zu wenige Noten</v>
      </c>
      <c r="KF46" s="31"/>
      <c r="KG46" s="56" t="str">
        <f ca="1">IF(NOT(KA46),INDEX(StdFehler[StdFehler],4),IF(JZ46=$KA$12,$A$3,ROUND(AVERAGE(KB46:KC46)/$KG$4,0)*$KG$4))</f>
        <v>Zu wenige Noten</v>
      </c>
      <c r="KH46" s="31"/>
      <c r="KI46" s="599"/>
      <c r="KJ46" s="190"/>
      <c r="KK46" s="586">
        <f>IF(KK$16,IF(KL$16=0.5,MROUND(TanzenResultat[[#This Row],[Resultat]],KL$16),ROUND(TanzenResultat[[#This Row],[Resultat]],KL$16)),ROUNDDOWN(TanzenResultat[[#This Row],[Resultat]],KL$16))</f>
        <v>0</v>
      </c>
      <c r="KL46" s="191" t="str">
        <f>IF(OR(Geschlecht[[#This Row],[Geschlecht (Skala)]]="",KI$16=""),"",MID(Geschlecht[[#This Row],[Geschlecht (Skala)]],1,1)&amp;MID(KI$16,1,1))</f>
        <v/>
      </c>
      <c r="KM46" s="190" t="str">
        <f>IF(OR(KL46="",TanzenResultat[[#This Row],[Resultat]]=""),"",REPLACE(INDEX(StdDisziplinen[TabÜberschriftResultat],KI$3),FIND("X",INDEX(StdDisziplinen[TabÜberschriftResultat],KI$3),1),2,KL46))</f>
        <v/>
      </c>
      <c r="KN46" s="31" t="str">
        <f ca="1">IF(KM46="","",IF(OR(TanzenResultat[[#This Row],[Resultat]]=Stammdaten!$AX$22,TanzenResultat[[#This Row],[Resultat]]=Stammdaten!$AX$19),Stammdaten!$AX$19,IF(ISNA(INDEX(INDIRECT(KM46),MATCH(TanzenGerundet[[#This Row],[Rundung]],INDIRECT(KM46),KM$18))),IF(KM$18=-1,LARGE(INDIRECT(KM46),1),SMALL(INDIRECT(KM46),1)),INDEX(INDIRECT(KM46),MATCH(TanzenGerundet[[#This Row],[Rundung]],INDIRECT(KM46),KM$18)))))</f>
        <v/>
      </c>
      <c r="KP46" s="18" t="str">
        <f ca="1">IF(TanzenSkalawert[[#This Row],[Skala-Wert]]="","",REPLACE(INDEX(StdDisziplinen[TabÜberschriftNote],KI$3),FIND("X",INDEX(StdDisziplinen[TabÜberschriftNote],KI$3),1),2,KL46))</f>
        <v/>
      </c>
      <c r="KQ46" s="45" t="str">
        <f ca="1">IF(OR(KP46="",TanzenSkalawert[[#This Row],[Skala-Wert]]=Stammdaten!$AX$19),"",INDEX(INDIRECT(KP46),MATCH(TanzenSkalawert[[#This Row],[Skala-Wert]],INDIRECT(KM46),0)))</f>
        <v/>
      </c>
      <c r="KR46" s="31"/>
      <c r="KS46" s="597"/>
      <c r="KT46" s="190"/>
      <c r="KU46" s="587">
        <f>IF(KU$16,IF(KV$16=0.5,MROUND(RopeSkippingResultat[[#This Row],[Resultat]],KV$16),ROUND(RopeSkippingResultat[[#This Row],[Resultat]],KV$16)),ROUNDDOWN(RopeSkippingResultat[[#This Row],[Resultat]],KV$16))</f>
        <v>0</v>
      </c>
      <c r="KV46" s="191" t="str">
        <f>IF(OR(Geschlecht[[#This Row],[Geschlecht (Skala)]]="",KS$16=""),"",MID(Geschlecht[[#This Row],[Geschlecht (Skala)]],1,1)&amp;MID(KS$16,1,1))</f>
        <v/>
      </c>
      <c r="KW46" s="190" t="str">
        <f>IF(OR(KV46="",RopeSkippingResultat[[#This Row],[Resultat]]=""),"",REPLACE(INDEX(StdDisziplinen[TabÜberschriftResultat],KS$3),FIND("X",INDEX(StdDisziplinen[TabÜberschriftResultat],KS$3),1),2,KV46))</f>
        <v/>
      </c>
      <c r="KX46" s="192" t="str">
        <f ca="1">IF(KW46="","",IF(OR(RopeSkippingResultat[[#This Row],[Resultat]]=Stammdaten!$AX$22,RopeSkippingResultat[[#This Row],[Resultat]]=Stammdaten!$AX$19),Stammdaten!$AX$19,IF(ISNA(INDEX(INDIRECT(KW46),MATCH(RopeSkippingGerundet[[#This Row],[Rundung]],INDIRECT(KW46),KW$18))),IF(KW$18=-1,LARGE(INDIRECT(KW46),1),SMALL(INDIRECT(KW46),1)),INDEX(INDIRECT(KW46),MATCH(RopeSkippingGerundet[[#This Row],[Rundung]],INDIRECT(KW46),KW$18)))))</f>
        <v/>
      </c>
      <c r="KZ46" s="18" t="str">
        <f ca="1">IF(RopeSkippingSkalawert[[#This Row],[Skala-Wert]]="","",REPLACE(INDEX(StdDisziplinen[TabÜberschriftNote],KS$3),FIND("X",INDEX(StdDisziplinen[TabÜberschriftNote],KS$3),1),2,KV46))</f>
        <v/>
      </c>
      <c r="LA46" s="45" t="str">
        <f ca="1">IF(OR(KZ46="",RopeSkippingSkalawert[[#This Row],[Skala-Wert]]=Stammdaten!$AX$19),"",INDEX(INDIRECT(KZ46),MATCH(RopeSkippingSkalawert[[#This Row],[Skala-Wert]],INDIRECT(KW46),0)))</f>
        <v/>
      </c>
      <c r="LB46" s="31"/>
      <c r="LC46" s="599"/>
      <c r="LD46" s="190"/>
      <c r="LE46" s="586">
        <f>IF(LE$16,IF(LF$16=0.5,MROUND(AerobicResultat[[#This Row],[Resultat]],LF$16),ROUND(AerobicResultat[[#This Row],[Resultat]],LF$16)),ROUNDDOWN(AerobicResultat[[#This Row],[Resultat]],LF$16))</f>
        <v>0</v>
      </c>
      <c r="LF46" s="191" t="str">
        <f>IF(OR(Geschlecht[[#This Row],[Geschlecht (Skala)]]="",LC$16=""),"",MID(Geschlecht[[#This Row],[Geschlecht (Skala)]],1,1)&amp;MID(LC$16,1,1))</f>
        <v/>
      </c>
      <c r="LG46" s="190" t="str">
        <f>IF(OR(LF46="",AerobicResultat[[#This Row],[Resultat]]=""),"",REPLACE(INDEX(StdDisziplinen[TabÜberschriftResultat],LC$3),FIND("X",INDEX(StdDisziplinen[TabÜberschriftResultat],LC$3),1),2,LF46))</f>
        <v/>
      </c>
      <c r="LH46" s="31" t="str">
        <f ca="1">IF(LG46="","",IF(OR(AerobicResultat[[#This Row],[Resultat]]=Stammdaten!$AX$22,AerobicResultat[[#This Row],[Resultat]]=Stammdaten!$AX$19),Stammdaten!$AX$19,IF(ISNA(INDEX(INDIRECT(LG46),MATCH(AerobicGerundet[[#This Row],[Rundung]],INDIRECT(LG46),LG$18))),IF(LG$18=-1,LARGE(INDIRECT(LG46),1),SMALL(INDIRECT(LG46),1)),INDEX(INDIRECT(LG46),MATCH(AerobicGerundet[[#This Row],[Rundung]],INDIRECT(LG46),LG$18)))))</f>
        <v/>
      </c>
      <c r="LJ46" s="18" t="str">
        <f ca="1">IF(AerobicSkalawert[[#This Row],[Skala-Wert]]="","",REPLACE(INDEX(StdDisziplinen[TabÜberschriftNote],LC$3),FIND("X",INDEX(StdDisziplinen[TabÜberschriftNote],LC$3),1),2,LF46))</f>
        <v/>
      </c>
      <c r="LK46" s="45" t="str">
        <f ca="1">IF(OR(LJ46="",AerobicSkalawert[[#This Row],[Skala-Wert]]=Stammdaten!$AX$19),"",INDEX(INDIRECT(LJ46),MATCH(AerobicSkalawert[[#This Row],[Skala-Wert]],INDIRECT(LG46),0)))</f>
        <v/>
      </c>
      <c r="LL46" s="31"/>
      <c r="LM46" s="45" t="str">
        <f ca="1">IF(TanzenSkalawert[[#This Row],[Skala-Wert]]=$A$3,$A$2,IF(ISNUMBER(TanzenSkalawert[[#This Row],[Skala-Wert]]),TanzenNote[[#This Row],[Note]],"!"))</f>
        <v>!</v>
      </c>
      <c r="LN46" s="45" t="str">
        <f ca="1">IF(RopeSkippingSkalawert[[#This Row],[Skala-Wert]]=$A$3,$A$2,IF(ISNUMBER(RopeSkippingSkalawert[[#This Row],[Skala-Wert]]),RopeSkippingNote[[#This Row],[Note]],"!"))</f>
        <v>!</v>
      </c>
      <c r="LO46" s="45" t="str">
        <f ca="1">IF(AerobicSkalawert[[#This Row],[Skala-Wert]]=$A$3,$A$2,IF(ISNUMBER(AerobicSkalawert[[#This Row],[Skala-Wert]]),AerobicNote[[#This Row],[Note]],"!"))</f>
        <v>!</v>
      </c>
      <c r="LP46" s="36">
        <f t="shared" ca="1" si="132"/>
        <v>0</v>
      </c>
      <c r="LQ46" s="36">
        <f t="shared" ca="1" si="133"/>
        <v>0</v>
      </c>
      <c r="LR46" s="244" t="str">
        <f t="shared" ca="1" si="22"/>
        <v>nd</v>
      </c>
      <c r="LS46" s="244" t="str">
        <f t="shared" ca="1" si="23"/>
        <v>nd</v>
      </c>
      <c r="LT46" s="244" t="str">
        <f t="shared" ca="1" si="24"/>
        <v>nd</v>
      </c>
      <c r="LU46" s="242" t="str">
        <f t="shared" ca="1" si="25"/>
        <v/>
      </c>
      <c r="LV46" s="242" t="str">
        <f t="shared" ca="1" si="134"/>
        <v/>
      </c>
      <c r="LW46" s="242" t="str">
        <f t="shared" ca="1" si="135"/>
        <v/>
      </c>
      <c r="LX46" s="242" t="str">
        <f ca="1">IF(LW46="",Stammdaten!$AM$4,INDEX(INDIRECT($B$4),MATCH($LW46,INDIRECT($B$5),0)))</f>
        <v>Darstellen und Tanzen</v>
      </c>
      <c r="LY46" s="242" t="str">
        <f ca="1">IF(LW46="",Stammdaten!$AY$27,IF(ISNUMBER(LU46),LX46,IF(ISNUMBER(LV46),TRIM(Stammdaten!$AX$25),"")))</f>
        <v>nicht durchgeführt</v>
      </c>
      <c r="LZ46" s="242" t="str">
        <f t="shared" ca="1" si="136"/>
        <v>Darstellen und Tanzen</v>
      </c>
      <c r="MA46" s="242" t="str">
        <f t="shared" ca="1" si="137"/>
        <v/>
      </c>
      <c r="MB46" s="242" t="str">
        <f t="shared" ca="1" si="26"/>
        <v>Darstellen und TanzenResultat[@Resultat]</v>
      </c>
      <c r="MC46" s="274" t="str">
        <f t="shared" ca="1" si="138"/>
        <v/>
      </c>
      <c r="MD46" s="242" t="str">
        <f t="shared" ca="1" si="139"/>
        <v>Darstellen und TanzenSkalawert[@[Skala-Wert]]</v>
      </c>
      <c r="ME46" s="274" t="str">
        <f t="shared" ca="1" si="140"/>
        <v/>
      </c>
      <c r="MF46" s="47" t="str">
        <f t="shared" ca="1" si="27"/>
        <v/>
      </c>
      <c r="MG46" s="200" t="str">
        <f t="shared" ca="1" si="141"/>
        <v>StdDisziplinen[MaxTextSt]</v>
      </c>
      <c r="MH46" s="200" t="str">
        <f t="shared" ca="1" si="142"/>
        <v/>
      </c>
      <c r="MI46" s="45"/>
      <c r="MJ46" s="98" t="str">
        <f ca="1">IF(LP46&gt;0,MAX(LM46:LO46),IF(LQ46&gt;0,$A$3,INDEX(StdFehler[StdFehler],4)))</f>
        <v>Zu wenige Noten</v>
      </c>
      <c r="MK46" s="45"/>
      <c r="ML46" s="37"/>
      <c r="MM46" s="190"/>
      <c r="MN46" s="586">
        <f>IF(MN$16,IF(MO$16=0.5,MROUND(BasketballResultat[[#This Row],[Resultat]],MO$16),ROUND(BasketballResultat[[#This Row],[Resultat]],MO$16)),ROUNDDOWN(BasketballResultat[[#This Row],[Resultat]],MO$16))</f>
        <v>0</v>
      </c>
      <c r="MO46" s="191" t="str">
        <f>IF(OR(Geschlecht[[#This Row],[Geschlecht (Skala)]]="",ML$16=""),"",MID(Geschlecht[[#This Row],[Geschlecht (Skala)]],1,1)&amp;MID(ML$16,1,1))</f>
        <v/>
      </c>
      <c r="MP46" s="190" t="str">
        <f>IF(OR(MO46="",BasketballResultat[[#This Row],[Resultat]]=""),"",REPLACE(INDEX(StdDisziplinen[TabÜberschriftResultat],ML$3),FIND("X",INDEX(StdDisziplinen[TabÜberschriftResultat],ML$3),1),2,MO46))</f>
        <v/>
      </c>
      <c r="MQ46" s="31" t="str">
        <f ca="1">IF(MP46="","",IF(OR(BasketballResultat[[#This Row],[Resultat]]=Stammdaten!$AX$22,BasketballResultat[[#This Row],[Resultat]]=Stammdaten!$AX$19),Stammdaten!$AX$19,IF(ISNA(INDEX(INDIRECT(MP46),MATCH(BasketballGerundet[[#This Row],[Rundung]],INDIRECT(MP46),MP$18))),IF(MP$18=-1,LARGE(INDIRECT(MP46),1),SMALL(INDIRECT(MP46),1)),INDEX(INDIRECT(MP46),MATCH(BasketballGerundet[[#This Row],[Rundung]],INDIRECT(MP46),MP$18)))))</f>
        <v/>
      </c>
      <c r="MS46" s="18" t="str">
        <f ca="1">IF(BasketballSkalawert[[#This Row],[Skala-Wert]]="","",REPLACE(INDEX(StdDisziplinen[TabÜberschriftNote],ML$3),FIND("X",INDEX(StdDisziplinen[TabÜberschriftNote],ML$3),1),2,MO46))</f>
        <v/>
      </c>
      <c r="MT46" s="31" t="str">
        <f ca="1">IF(OR(MS46="",BasketballSkalawert[[#This Row],[Skala-Wert]]=Stammdaten!$AX$19),"",INDEX(INDIRECT(MS46),MATCH(BasketballSkalawert[[#This Row],[Skala-Wert]],INDIRECT(MP46),0)))</f>
        <v/>
      </c>
      <c r="MU46" s="31"/>
      <c r="MV46" s="37"/>
      <c r="MW46" s="190"/>
      <c r="MX46" s="586">
        <f>IF(MX$16,IF(MY$16=0.5,MROUND(FussballResultat[[#This Row],[Resultat]],MY$16),ROUND(FussballResultat[[#This Row],[Resultat]],MY$16)),ROUNDDOWN(FussballResultat[[#This Row],[Resultat]],MY$16))</f>
        <v>0</v>
      </c>
      <c r="MY46" s="191" t="str">
        <f>IF(OR(Geschlecht[[#This Row],[Geschlecht (Skala)]]="",MV$16=""),"",MID(Geschlecht[[#This Row],[Geschlecht (Skala)]],1,1)&amp;MID(MV$16,1,1))</f>
        <v/>
      </c>
      <c r="MZ46" s="190" t="str">
        <f>IF(OR(MY46="",FussballResultat[[#This Row],[Resultat]]=""),"",REPLACE(INDEX(StdDisziplinen[TabÜberschriftResultat],MV$3),FIND("X",INDEX(StdDisziplinen[TabÜberschriftResultat],MV$3),1),2,MY46))</f>
        <v/>
      </c>
      <c r="NA46" s="31" t="str">
        <f ca="1">IF(MZ46="","",IF(OR(FussballResultat[[#This Row],[Resultat]]=Stammdaten!$AX$22,FussballResultat[[#This Row],[Resultat]]=Stammdaten!$AX$19),Stammdaten!$AX$19,IF(ISNA(INDEX(INDIRECT(MZ46),MATCH(FussballGerundet[[#This Row],[Rundung]],INDIRECT(MZ46),MZ$18))),IF(MZ$18=-1,LARGE(INDIRECT(MZ46),1),SMALL(INDIRECT(MZ46),1)),INDEX(INDIRECT(MZ46),MATCH(FussballGerundet[[#This Row],[Rundung]],INDIRECT(MZ46),MZ$18)))))</f>
        <v/>
      </c>
      <c r="NC46" s="18" t="str">
        <f ca="1">IF(FussballSkalawert[[#This Row],[Skala-Wert]]="","",REPLACE(INDEX(StdDisziplinen[TabÜberschriftNote],MV$3),FIND("X",INDEX(StdDisziplinen[TabÜberschriftNote],MV$3),1),2,MY46))</f>
        <v/>
      </c>
      <c r="ND46" s="31" t="str">
        <f ca="1">IF(OR(NC46="",FussballSkalawert[[#This Row],[Skala-Wert]]=Stammdaten!$AX$19),"",INDEX(INDIRECT(NC46),MATCH(FussballSkalawert[[#This Row],[Skala-Wert]],INDIRECT(MZ46),0)))</f>
        <v/>
      </c>
      <c r="NE46" s="31"/>
      <c r="NF46" s="37"/>
      <c r="NG46" s="190"/>
      <c r="NH46" s="586">
        <f>IF(NH$16,IF(NI$16=0.5,MROUND(HandballResultat[[#This Row],[Resultat]],NI$16),ROUND(HandballResultat[[#This Row],[Resultat]],NI$16)),ROUNDDOWN(HandballResultat[[#This Row],[Resultat]],NI$16))</f>
        <v>0</v>
      </c>
      <c r="NI46" s="191" t="str">
        <f>IF(OR(Geschlecht[[#This Row],[Geschlecht (Skala)]]="",NF$16=""),"",MID(Geschlecht[[#This Row],[Geschlecht (Skala)]],1,1)&amp;MID(NF$16,1,1))</f>
        <v/>
      </c>
      <c r="NJ46" s="190" t="str">
        <f>IF(OR(NI46="",HandballResultat[[#This Row],[Resultat]]=""),"",REPLACE(INDEX(StdDisziplinen[TabÜberschriftResultat],NF$3),FIND("X",INDEX(StdDisziplinen[TabÜberschriftResultat],NF$3),1),2,NI46))</f>
        <v/>
      </c>
      <c r="NK46" s="31" t="str">
        <f ca="1">IF(NJ46="","",IF(OR(HandballResultat[[#This Row],[Resultat]]=Stammdaten!$AX$22,HandballResultat[[#This Row],[Resultat]]=Stammdaten!$AX$19),Stammdaten!$AX$19,IF(ISNA(INDEX(INDIRECT(NJ46),MATCH(HandballGerundet[[#This Row],[Rundung]],INDIRECT(NJ46),NJ$18))),IF(NJ$18=-1,LARGE(INDIRECT(NJ46),1),SMALL(INDIRECT(NJ46),1)),INDEX(INDIRECT(NJ46),MATCH(HandballGerundet[[#This Row],[Rundung]],INDIRECT(NJ46),NJ$18)))))</f>
        <v/>
      </c>
      <c r="NM46" s="18" t="str">
        <f ca="1">IF(HandballSkalawert[[#This Row],[Skala-Wert]]="","",REPLACE(INDEX(StdDisziplinen[TabÜberschriftNote],NF$3),FIND("X",INDEX(StdDisziplinen[TabÜberschriftNote],NF$3),1),2,NI46))</f>
        <v/>
      </c>
      <c r="NN46" s="31" t="str">
        <f ca="1">IF(OR(NM46="",HandballSkalawert[[#This Row],[Skala-Wert]]=Stammdaten!$AX$19),"",INDEX(INDIRECT(NM46),MATCH(HandballSkalawert[[#This Row],[Skala-Wert]],INDIRECT(NJ46),0)))</f>
        <v/>
      </c>
      <c r="NO46" s="31"/>
      <c r="NP46" s="37"/>
      <c r="NQ46" s="190"/>
      <c r="NR46" s="586">
        <f>IF(NR$16,IF(NS$16=0.5,MROUND(UnihockeyResultat[[#This Row],[Resultat]],NS$16),ROUND(UnihockeyResultat[[#This Row],[Resultat]],NS$16)),ROUNDDOWN(UnihockeyResultat[[#This Row],[Resultat]],NS$16))</f>
        <v>0</v>
      </c>
      <c r="NS46" s="191" t="str">
        <f>IF(OR(Geschlecht[[#This Row],[Geschlecht (Skala)]]="",NP$16=""),"",MID(Geschlecht[[#This Row],[Geschlecht (Skala)]],1,1)&amp;MID(NP$16,1,1))</f>
        <v/>
      </c>
      <c r="NT46" s="190" t="str">
        <f>IF(OR(NS46="",UnihockeyResultat[[#This Row],[Resultat]]=""),"",REPLACE(INDEX(StdDisziplinen[TabÜberschriftResultat],NP$3),FIND("X",INDEX(StdDisziplinen[TabÜberschriftResultat],NP$3),1),2,NS46))</f>
        <v/>
      </c>
      <c r="NU46" s="31" t="str">
        <f ca="1">IF(NT46="","",IF(OR(UnihockeyResultat[[#This Row],[Resultat]]=Stammdaten!$AX$22,UnihockeyResultat[[#This Row],[Resultat]]=Stammdaten!$AX$19),Stammdaten!$AX$19,IF(ISNA(INDEX(INDIRECT(NT46),MATCH(UnihockeyGerundet[[#This Row],[Rundung]],INDIRECT(NT46),NT$18))),IF(NT$18=-1,LARGE(INDIRECT(NT46),1),SMALL(INDIRECT(NT46),1)),INDEX(INDIRECT(NT46),MATCH(UnihockeyGerundet[[#This Row],[Rundung]],INDIRECT(NT46),NT$18)))))</f>
        <v/>
      </c>
      <c r="NW46" s="18" t="str">
        <f ca="1">IF(UnihockeySkalawert[[#This Row],[Skala-Wert]]="","",REPLACE(INDEX(StdDisziplinen[TabÜberschriftNote],NP$3),FIND("X",INDEX(StdDisziplinen[TabÜberschriftNote],NP$3),1),2,NS46))</f>
        <v/>
      </c>
      <c r="NX46" s="31" t="str">
        <f ca="1">IF(OR(NW46="",UnihockeySkalawert[[#This Row],[Skala-Wert]]=Stammdaten!$AX$19),"",INDEX(INDIRECT(NW46),MATCH(UnihockeySkalawert[[#This Row],[Skala-Wert]],INDIRECT(NT46),0)))</f>
        <v/>
      </c>
      <c r="NY46" s="31"/>
      <c r="NZ46" s="597"/>
      <c r="OA46" s="190"/>
      <c r="OB46" s="587">
        <f>IF(OB$16,IF(OC$16=0.5,MROUND(VolleyballResultat[[#This Row],[Resultat]],OC$16),ROUND(VolleyballResultat[[#This Row],[Resultat]],OC$16)),ROUNDDOWN(VolleyballResultat[[#This Row],[Resultat]],OC$16))</f>
        <v>0</v>
      </c>
      <c r="OC46" s="191" t="str">
        <f>IF(OR(Geschlecht[[#This Row],[Geschlecht (Skala)]]="",NZ$16=""),"",MID(Geschlecht[[#This Row],[Geschlecht (Skala)]],1,1)&amp;MID(NZ$16,1,1))</f>
        <v/>
      </c>
      <c r="OD46" s="190" t="str">
        <f>IF(OR(OC46="",VolleyballResultat[[#This Row],[Resultat]]=""),"",REPLACE(INDEX(StdDisziplinen[TabÜberschriftResultat],NZ$3),FIND("X",INDEX(StdDisziplinen[TabÜberschriftResultat],NZ$3),1),2,OC46))</f>
        <v/>
      </c>
      <c r="OE46" s="192" t="str">
        <f ca="1">IF(OD46="","",IF(OR(VolleyballResultat[[#This Row],[Resultat]]=Stammdaten!$AX$22,VolleyballResultat[[#This Row],[Resultat]]=Stammdaten!$AX$19),Stammdaten!$AX$19,IF(ISNA(INDEX(INDIRECT(OD46),MATCH(VolleyballGerundet[[#This Row],[Rundung]],INDIRECT(OD46),OD$18))),IF(OD$18=-1,LARGE(INDIRECT(OD46),1),SMALL(INDIRECT(OD46),1)),INDEX(INDIRECT(OD46),MATCH(VolleyballGerundet[[#This Row],[Rundung]],INDIRECT(OD46),OD$18)))))</f>
        <v/>
      </c>
      <c r="OG46" s="18" t="str">
        <f ca="1">IF(VolleyballSkalawert[[#This Row],[Skala-Wert]]="","",REPLACE(INDEX(StdDisziplinen[TabÜberschriftNote],NZ$3),FIND("X",INDEX(StdDisziplinen[TabÜberschriftNote],NZ$3),1),2,OC46))</f>
        <v/>
      </c>
      <c r="OH46" s="31" t="str">
        <f ca="1">IF(OR(OG46="",VolleyballSkalawert[[#This Row],[Skala-Wert]]=Stammdaten!$AX$19),"",INDEX(INDIRECT(OG46),MATCH(VolleyballSkalawert[[#This Row],[Skala-Wert]],INDIRECT(OD46),0)))</f>
        <v/>
      </c>
      <c r="OI46" s="45"/>
      <c r="OJ46" s="31">
        <f ca="1">IF(BasketballSkalawert[[#This Row],[Skala-Wert]]=$A$3,$A$2,IF(BasketballNote[[#This Row],[Note]]="",0,BasketballNote[[#This Row],[Note]]))</f>
        <v>0</v>
      </c>
      <c r="OK46" s="31">
        <f ca="1">IF(FussballSkalawert[[#This Row],[Skala-Wert]]=$A$3,$A$2,IF(FussballNote[[#This Row],[Note]]="",0,FussballNote[[#This Row],[Note]]))</f>
        <v>0</v>
      </c>
      <c r="OL46" s="31">
        <f ca="1">IF(HandballSkalawert[[#This Row],[Skala-Wert]]=$A$3,$A$2,IF(HandballNote[[#This Row],[Note]]="",0,HandballNote[[#This Row],[Note]]))</f>
        <v>0</v>
      </c>
      <c r="OM46" s="31">
        <f ca="1">IF(UnihockeySkalawert[[#This Row],[Skala-Wert]]=$A$3,$A$2,IF(UnihockeyNote[[#This Row],[Note]]="",0,UnihockeyNote[[#This Row],[Note]]))</f>
        <v>0</v>
      </c>
      <c r="ON46" s="31">
        <f ca="1">IF(VolleyballSkalawert[[#This Row],[Skala-Wert]]=$A$3,$A$2,IF(VolleyballNote[[#This Row],[Note]]="",0,VolleyballNote[[#This Row],[Note]]))</f>
        <v>0</v>
      </c>
      <c r="OO46" s="202">
        <f t="shared" ca="1" si="28"/>
        <v>0</v>
      </c>
      <c r="OP46" s="202">
        <f t="shared" ca="1" si="29"/>
        <v>0</v>
      </c>
      <c r="OQ46" s="202">
        <f t="shared" ca="1" si="143"/>
        <v>0</v>
      </c>
      <c r="OR46" s="96" t="str">
        <f t="shared" ca="1" si="144"/>
        <v>!</v>
      </c>
      <c r="OS46" s="96" t="str">
        <f t="shared" ca="1" si="30"/>
        <v>!</v>
      </c>
      <c r="OT46" s="96" t="str">
        <f t="shared" ca="1" si="31"/>
        <v>!</v>
      </c>
      <c r="OU46" s="96" t="str">
        <f ca="1">IF(NOT(OQ46),INDEX(StdFehler[StdFehler],4),IF(COUNTIF(OR46:OT46,$A$2)&gt;=$OQ$13,$A$3,ROUND(AVERAGE(OR46:OT46)/$RX$4,0)*$RX$4))</f>
        <v>Zu wenige Noten</v>
      </c>
      <c r="OV46" s="244" t="str">
        <f t="shared" ca="1" si="145"/>
        <v>nd</v>
      </c>
      <c r="OW46" s="244" t="str">
        <f t="shared" ca="1" si="146"/>
        <v>nd</v>
      </c>
      <c r="OX46" s="244" t="str">
        <f t="shared" ca="1" si="147"/>
        <v>nd</v>
      </c>
      <c r="OY46" s="244" t="str">
        <f t="shared" ca="1" si="148"/>
        <v>nd</v>
      </c>
      <c r="OZ46" s="244" t="str">
        <f t="shared" ca="1" si="149"/>
        <v>nd</v>
      </c>
      <c r="PA46" s="202" t="b">
        <f t="shared" ca="1" si="150"/>
        <v>0</v>
      </c>
      <c r="PB46" s="202">
        <f t="shared" ca="1" si="151"/>
        <v>1</v>
      </c>
      <c r="PC46" s="202">
        <f t="shared" ca="1" si="152"/>
        <v>0</v>
      </c>
      <c r="PD46" s="96" t="str">
        <f t="shared" ca="1" si="153"/>
        <v/>
      </c>
      <c r="PE46" s="96" t="str">
        <f t="shared" ca="1" si="154"/>
        <v/>
      </c>
      <c r="PF46" s="200">
        <f t="shared" ca="1" si="155"/>
        <v>0</v>
      </c>
      <c r="PG46" s="202" t="str">
        <f t="shared" ca="1" si="156"/>
        <v/>
      </c>
      <c r="PH46" s="200" t="str">
        <f t="shared" ca="1" si="157"/>
        <v/>
      </c>
      <c r="PI46" s="200" t="str">
        <f t="shared" ca="1" si="158"/>
        <v/>
      </c>
      <c r="PJ46" s="200" t="str">
        <f t="shared" ca="1" si="159"/>
        <v/>
      </c>
      <c r="PK46" s="242" t="str">
        <f t="shared" ca="1" si="160"/>
        <v/>
      </c>
      <c r="PL46" s="242" t="str">
        <f t="shared" ca="1" si="161"/>
        <v/>
      </c>
      <c r="PM46" s="242" t="str">
        <f t="shared" ca="1" si="162"/>
        <v/>
      </c>
      <c r="PN46" s="242" t="str">
        <f t="shared" ca="1" si="163"/>
        <v>Erste Spielsportart</v>
      </c>
      <c r="PO46" s="242" t="str">
        <f ca="1">IF(PN46=$PM$11,Stammdaten!$AY$27,IF(PR46=$A$2,TRIM(Stammdaten!$AX$25),""))</f>
        <v>nicht durchgeführt</v>
      </c>
      <c r="PP46" s="242" t="str">
        <f t="shared" ca="1" si="164"/>
        <v/>
      </c>
      <c r="PQ46" s="202" t="str">
        <f t="shared" ca="1" si="165"/>
        <v>Erste SpielsportartResultat[@Resultat]</v>
      </c>
      <c r="PR46" s="98" t="str">
        <f t="shared" ca="1" si="166"/>
        <v/>
      </c>
      <c r="PS46" s="202" t="str">
        <f t="shared" ca="1" si="167"/>
        <v/>
      </c>
      <c r="PT46" s="202" t="str">
        <f t="shared" ca="1" si="168"/>
        <v>Erste SpielsportartSkalawert[@[Skala-Wert]]</v>
      </c>
      <c r="PU46" s="98" t="str">
        <f t="shared" ca="1" si="169"/>
        <v/>
      </c>
      <c r="PV46" s="202" t="str">
        <f t="shared" ca="1" si="170"/>
        <v/>
      </c>
      <c r="PW46" s="202" t="str">
        <f t="shared" ca="1" si="171"/>
        <v/>
      </c>
      <c r="PX46" s="202" t="str">
        <f t="shared" ca="1" si="172"/>
        <v>StdDisziplinen[MaxTextSt]</v>
      </c>
      <c r="PY46" s="202" t="str">
        <f t="shared" ca="1" si="173"/>
        <v/>
      </c>
      <c r="PZ46" s="202" t="b">
        <f t="shared" ca="1" si="174"/>
        <v>0</v>
      </c>
      <c r="QA46" s="202" t="str">
        <f t="shared" ca="1" si="175"/>
        <v/>
      </c>
      <c r="QB46" s="202" t="str">
        <f t="shared" ca="1" si="32"/>
        <v/>
      </c>
      <c r="QC46" s="202" t="str">
        <f t="shared" ca="1" si="176"/>
        <v/>
      </c>
      <c r="QD46" s="202" t="str">
        <f t="shared" ca="1" si="177"/>
        <v/>
      </c>
      <c r="QE46" s="242" t="str">
        <f t="shared" ca="1" si="178"/>
        <v/>
      </c>
      <c r="QF46" s="242" t="str">
        <f t="shared" ca="1" si="179"/>
        <v/>
      </c>
      <c r="QG46" s="242" t="str">
        <f t="shared" ca="1" si="180"/>
        <v>Zweite Spielsportart</v>
      </c>
      <c r="QH46" s="242" t="str">
        <f ca="1">IF(QG46=$QF$11,Stammdaten!$AY$27,IF(QK46=$A$2,TRIM(Stammdaten!$AX$25),""))</f>
        <v>nicht durchgeführt</v>
      </c>
      <c r="QI46" s="242" t="str">
        <f t="shared" ca="1" si="181"/>
        <v/>
      </c>
      <c r="QJ46" s="202" t="str">
        <f t="shared" ca="1" si="182"/>
        <v>Zweite SpielsportartResultat[@Resultat]</v>
      </c>
      <c r="QK46" s="98" t="str">
        <f t="shared" ca="1" si="183"/>
        <v/>
      </c>
      <c r="QL46" s="202" t="str">
        <f t="shared" ca="1" si="184"/>
        <v/>
      </c>
      <c r="QM46" s="202" t="str">
        <f t="shared" ca="1" si="185"/>
        <v>Zweite SpielsportartSkalawert[@[Skala-Wert]]</v>
      </c>
      <c r="QN46" s="98" t="str">
        <f t="shared" ca="1" si="186"/>
        <v/>
      </c>
      <c r="QO46" s="202" t="str">
        <f t="shared" ca="1" si="187"/>
        <v/>
      </c>
      <c r="QP46" s="202" t="str">
        <f t="shared" ca="1" si="188"/>
        <v/>
      </c>
      <c r="QQ46" s="202" t="str">
        <f t="shared" ca="1" si="189"/>
        <v>StdDisziplinen[MaxTextSt]</v>
      </c>
      <c r="QR46" s="202" t="str">
        <f t="shared" ca="1" si="190"/>
        <v/>
      </c>
      <c r="QS46" s="202" t="b">
        <f t="shared" ca="1" si="191"/>
        <v>0</v>
      </c>
      <c r="QT46" s="242" t="str">
        <f t="shared" ca="1" si="33"/>
        <v>Dritte Spielsportart</v>
      </c>
      <c r="QU46" s="242" t="str">
        <f ca="1">IF(QT46=$QT$11,MID(Stammdaten!$AX$27,2,LEN(Stammdaten!$AX$27)),IF(QX46=$A$2,TRIM(Stammdaten!$AX$25),""))</f>
        <v>nicht durchgeführt</v>
      </c>
      <c r="QV46" s="242" t="str">
        <f t="shared" ca="1" si="34"/>
        <v/>
      </c>
      <c r="QW46" s="202" t="str">
        <f t="shared" ca="1" si="192"/>
        <v>Dritte SpielsportartResultat[@Resultat]</v>
      </c>
      <c r="QX46" s="98" t="str">
        <f t="shared" ca="1" si="193"/>
        <v/>
      </c>
      <c r="QY46" s="202" t="str">
        <f t="shared" ca="1" si="35"/>
        <v/>
      </c>
      <c r="QZ46" s="202" t="str">
        <f t="shared" ca="1" si="194"/>
        <v>Dritte SpielsportartSkalawert[@[Skala-Wert]]</v>
      </c>
      <c r="RA46" s="98" t="str">
        <f t="shared" ca="1" si="224"/>
        <v/>
      </c>
      <c r="RB46" s="202" t="str">
        <f t="shared" ca="1" si="36"/>
        <v/>
      </c>
      <c r="RC46" s="202" t="str">
        <f t="shared" ca="1" si="196"/>
        <v/>
      </c>
      <c r="RD46" s="202" t="str">
        <f t="shared" ca="1" si="197"/>
        <v>StdDisziplinen[MaxTextSt]</v>
      </c>
      <c r="RE46" s="202" t="str">
        <f t="shared" ca="1" si="37"/>
        <v/>
      </c>
      <c r="RF46" s="244">
        <f t="shared" ca="1" si="38"/>
        <v>99</v>
      </c>
      <c r="RG46" s="244">
        <f t="shared" ca="1" si="39"/>
        <v>99</v>
      </c>
      <c r="RH46" s="244">
        <f t="shared" ca="1" si="40"/>
        <v>99</v>
      </c>
      <c r="RI46" s="244">
        <f t="shared" ca="1" si="41"/>
        <v>99</v>
      </c>
      <c r="RJ46" s="244">
        <f t="shared" ca="1" si="42"/>
        <v>99</v>
      </c>
      <c r="RK46" s="244">
        <f t="shared" ca="1" si="198"/>
        <v>99</v>
      </c>
      <c r="RL46" s="244">
        <f t="shared" ca="1" si="199"/>
        <v>99</v>
      </c>
      <c r="RM46" s="244">
        <f t="shared" ca="1" si="200"/>
        <v>99</v>
      </c>
      <c r="RN46" s="244">
        <f t="shared" ca="1" si="201"/>
        <v>99</v>
      </c>
      <c r="RO46" s="244">
        <f t="shared" ca="1" si="202"/>
        <v>99</v>
      </c>
      <c r="RP46" s="202" t="str">
        <f t="shared" ca="1" si="43"/>
        <v>Zu wenige Noten</v>
      </c>
      <c r="RQ46" s="202" t="str">
        <f t="shared" ca="1" si="203"/>
        <v>Zu wenige Noten</v>
      </c>
      <c r="RR46" s="202" t="str">
        <f t="shared" ca="1" si="203"/>
        <v>Zu wenige Noten</v>
      </c>
      <c r="RS46" s="202" t="str">
        <f t="shared" ca="1" si="204"/>
        <v>Zu wenige Noten</v>
      </c>
      <c r="RT46" s="202" t="str">
        <f t="shared" ca="1" si="204"/>
        <v>Zu wenige Noten</v>
      </c>
      <c r="RU46" s="202" t="str">
        <f t="shared" ca="1" si="205"/>
        <v>Zu wenige Noten</v>
      </c>
      <c r="RV46" s="202" t="str">
        <f t="shared" ca="1" si="206"/>
        <v>Zu wenige Noten</v>
      </c>
      <c r="RW46" s="31"/>
      <c r="RX46" s="56" t="str">
        <f t="shared" ca="1" si="44"/>
        <v>Zu wenige Noten</v>
      </c>
      <c r="RY46" s="31"/>
      <c r="RZ46" s="31" t="str">
        <f t="shared" ca="1" si="45"/>
        <v>Zu wenige Noten</v>
      </c>
      <c r="SA46" s="31" t="str">
        <f t="shared" ca="1" si="46"/>
        <v>Zu wenige Noten</v>
      </c>
      <c r="SB46" s="45" t="str">
        <f t="shared" ca="1" si="47"/>
        <v>Zu wenige Noten</v>
      </c>
      <c r="SC46" s="31" t="str">
        <f t="shared" ca="1" si="207"/>
        <v>Zu wenige Noten</v>
      </c>
      <c r="SD46" s="31" t="str">
        <f t="shared" ca="1" si="208"/>
        <v>Zu wenige Noten</v>
      </c>
      <c r="SE46" s="31" t="str">
        <f t="shared" ca="1" si="225"/>
        <v>Zu wenige Noten</v>
      </c>
      <c r="SF46" s="31" t="str">
        <f t="shared" ca="1" si="209"/>
        <v>Zu wenige Noten</v>
      </c>
      <c r="SG46" s="31" t="str">
        <f t="shared" ca="1" si="226"/>
        <v>Zu wenige Noten</v>
      </c>
      <c r="SH46" s="36">
        <f t="shared" ca="1" si="210"/>
        <v>0</v>
      </c>
      <c r="SI46" s="36">
        <f t="shared" ca="1" si="211"/>
        <v>0</v>
      </c>
      <c r="SJ46" s="36">
        <f t="shared" ca="1" si="212"/>
        <v>0</v>
      </c>
      <c r="SK46" s="31">
        <f t="shared" ca="1" si="213"/>
        <v>99</v>
      </c>
      <c r="SL46" s="31">
        <f t="shared" ca="1" si="214"/>
        <v>99</v>
      </c>
      <c r="SM46" s="36" t="str">
        <f t="shared" ca="1" si="215"/>
        <v>99.0</v>
      </c>
      <c r="SN46" s="31">
        <f t="shared" ca="1" si="216"/>
        <v>99</v>
      </c>
      <c r="SO46" s="36" t="str">
        <f ca="1">IF(NOT(SJ46),INDEX(StdFehler[StdFehler],4),IF(SI46=$SJ$13,$A$3,CONCATENATE(TEXT(SK46,"#.0"),", ",TEXT(SL46,"#.0"),", ",SM46,", ",TEXT(SN46,"#.0"))))</f>
        <v>Zu wenige Noten</v>
      </c>
      <c r="SP46" s="36" t="str">
        <f t="shared" ca="1" si="49"/>
        <v>Zu wenige Noten</v>
      </c>
      <c r="SQ46" s="36" t="str">
        <f t="shared" ca="1" si="49"/>
        <v>Zu wenige Noten</v>
      </c>
      <c r="SR46" s="36" t="str">
        <f t="shared" ca="1" si="49"/>
        <v>Zu wenige Noten</v>
      </c>
      <c r="SS46" s="36" t="str">
        <f t="shared" ca="1" si="49"/>
        <v>Zu wenige Noten</v>
      </c>
      <c r="ST46" s="36" t="str">
        <f t="shared" ca="1" si="217"/>
        <v>Zu wenige Noten</v>
      </c>
      <c r="SU46" s="36"/>
      <c r="SV46" s="214" t="str">
        <f t="shared" si="218"/>
        <v>D</v>
      </c>
      <c r="SW46" s="36"/>
      <c r="SX46" s="214" t="str">
        <f t="shared" si="219"/>
        <v>D</v>
      </c>
      <c r="SY46" s="36"/>
      <c r="SZ46" s="214" t="str">
        <f t="shared" si="220"/>
        <v>D</v>
      </c>
      <c r="TA46" s="36"/>
      <c r="TB46" s="214" t="str">
        <f t="shared" si="221"/>
        <v>D</v>
      </c>
      <c r="TC46" s="31"/>
      <c r="TD46" s="36" t="str">
        <f t="shared" ca="1" si="222"/>
        <v>Zu wenige Noten</v>
      </c>
      <c r="TE46" s="31"/>
      <c r="TF46" s="193" t="str">
        <f ca="1">IF(NOT(SJ46),INDEX(StdFehler[StdFehler],4),IF(SI46=$TF$4,$A$3,ROUND(AVERAGE(RZ46:SC46)/$TF$5,0)*$TF$5))</f>
        <v>Zu wenige Noten</v>
      </c>
      <c r="TH46" s="595" t="str">
        <f>IF(OR($TH$18=Stammdaten!$AX$20,$TH$18=""),Stammdaten!$AX$20,$TH$18)</f>
        <v>Disziplin</v>
      </c>
      <c r="TI46" s="33"/>
      <c r="TJ46" s="33" t="str">
        <f>IF(OR(Geschlecht[[#This Row],[Geschlecht (Skala)]]="",TH46="",TH46=Stammdaten!$AX$20),"",REPLACE(INDEX(StdDisziplinen[TabÜberschriftResultat],TH$3),FIND("XX",INDEX(StdDisziplinen[TabÜberschriftResultat],TH$3),1),2,Geschlecht[[#This Row],[Geschlecht (Skala)]]))</f>
        <v/>
      </c>
      <c r="TK46" s="596"/>
      <c r="TM46" s="37"/>
      <c r="TN46" s="40"/>
      <c r="TO46" s="587">
        <f>IF(TO$16,IF(TP$16=0.5,MROUND(SchwimmenResultat[[#This Row],[Resultat]],TP$16),ROUND(SchwimmenResultat[[#This Row],[Resultat]],TP$16)),ROUNDDOWN(SchwimmenResultat[[#This Row],[Resultat]],TP$16))</f>
        <v>0</v>
      </c>
      <c r="TP46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6" s="153" t="str">
        <f ca="1">IF(TP46="","",IF(OR(SchwimmenResultat[[#This Row],[Resultat]]=Stammdaten!$AX$22,SchwimmenResultat[[#This Row],[Resultat]]=Stammdaten!$AX$19),Stammdaten!$AX$19,IF(ISNA(INDEX(INDIRECT(TP46),MATCH(SchwimmenGerundet[[#This Row],[Rundung]],INDIRECT(TP46),TP$18))),IF(TP$18=-1,LARGE(INDIRECT(TP46),1),SMALL(INDIRECT(TP46),1)),INDEX(INDIRECT(TP46),MATCH(SchwimmenGerundet[[#This Row],[Rundung]],INDIRECT(TP46),TP$18)))))</f>
        <v/>
      </c>
      <c r="TR46" s="33" t="str">
        <f>IF(OR(TP46="",SchwimmenResultat[[#This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6" s="33"/>
      <c r="TT46" s="36" t="str">
        <f ca="1">IF(OR(TR46="",SchwimmenSkalawert[[#This Row],[Skala-Wert]]=Stammdaten!$AX$19),"",INDEX(INDIRECT(TR46),MATCH(SchwimmenSkalawert[[#This Row],[Skala-Wert]],INDIRECT(TP46),0)))</f>
        <v/>
      </c>
      <c r="TU46" s="36"/>
      <c r="TV46" s="190" t="str">
        <f>IF(ZwölfMinLaufHalleResultat[[#This Row],[Resultat]]=0,"",ZwölfMinLaufHalleResultat[[#This Row],[Resultat]])</f>
        <v/>
      </c>
      <c r="TW46" s="190"/>
      <c r="TX46" s="31" t="str">
        <f ca="1">ZwölfMinLaufHalleSkalawert[[#This Row],[Skala-Wert]]</f>
        <v/>
      </c>
      <c r="TZ46" s="31" t="str">
        <f ca="1">ZwölfMinLaufHalleNote[[#This Row],[Note]]</f>
        <v/>
      </c>
      <c r="UA46" s="31"/>
      <c r="UB46" s="190" t="str">
        <f>IF(ZwölfMinLaufimFreienResultat[[#This Row],[Resultat]]=0,"",ZwölfMinLaufimFreienResultat[[#This Row],[Resultat]])</f>
        <v/>
      </c>
      <c r="UC46" s="190"/>
      <c r="UD46" s="192" t="str">
        <f ca="1">ZwölfMinLaufimFreienSkalawert[[#This Row],[Skala-Wert]]</f>
        <v/>
      </c>
      <c r="UF46" s="31" t="str">
        <f ca="1">ZwölfMinLaufimFreienNote[[#This Row],[Note]]</f>
        <v/>
      </c>
      <c r="UG46" s="31"/>
      <c r="UH46" s="597"/>
      <c r="UI46" s="190"/>
      <c r="UJ46" s="587">
        <f>IF(UJ$16,IF(UK$16=0.5,MROUND(BeweglichkeitResultat[[#This Row],[Resultat]],UK$16),ROUND(BeweglichkeitResultat[[#This Row],[Resultat]],UK$16)),ROUNDDOWN(BeweglichkeitResultat[[#This Row],[Resultat]],UK$16))</f>
        <v>0</v>
      </c>
      <c r="UK46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6" s="192" t="str">
        <f ca="1">IF(UK46="","",IF(OR(BeweglichkeitResultat[[#This Row],[Resultat]]=Stammdaten!$AX$22,BeweglichkeitResultat[[#This Row],[Resultat]]=Stammdaten!$AX$19),Stammdaten!$AX$19,IF(ISNA(INDEX(INDIRECT(UK46),MATCH(BeweglichkeitGerundet[[#This Row],[Rundung]],INDIRECT(UK46),UK$18))),IF(UK$18=-1,LARGE(INDIRECT(UK46),1),SMALL(INDIRECT(UK46),1)),INDEX(INDIRECT(UK46),MATCH(BeweglichkeitGerundet[[#This Row],[Rundung]],INDIRECT(UK46),UK$18)))))</f>
        <v/>
      </c>
      <c r="UN46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6" s="36" t="str">
        <f ca="1">IF(OR(UK46="",BeweglichkeitSkalawert[[#This Row],[Skala-Wert]]=Stammdaten!$AX$19),"",INDEX(INDIRECT(UN46),MATCH(BeweglichkeitSkalawert[[#This Row],[Skala-Wert]],INDIRECT(UK46),0)))</f>
        <v/>
      </c>
      <c r="UP46" s="31"/>
      <c r="UQ46" s="597"/>
      <c r="UR46" s="190"/>
      <c r="US46" s="587">
        <f>IF(US$16,IF(UT$16=0.5,MROUND(RumpfkraftResultat[[#This Row],[Resultat]],UT$16),ROUND(RumpfkraftResultat[[#This Row],[Resultat]],UT$16)),ROUNDDOWN(RumpfkraftResultat[[#This Row],[Resultat]],UT$16))</f>
        <v>0</v>
      </c>
      <c r="UT46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6" s="192" t="str">
        <f ca="1">IF(UT46="","",IF(OR(RumpfkraftResultat[[#This Row],[Resultat]]=Stammdaten!$AX$22,RumpfkraftResultat[[#This Row],[Resultat]]=Stammdaten!$AX$19),Stammdaten!$AX$19,IF(ISNA(INDEX(INDIRECT(UT46),MATCH(RumpfkraftGerundet[[#This Row],[Rundung]],INDIRECT(UT46),UT$18))),IF(UT$18=-1,LARGE(INDIRECT(UT46),1),SMALL(INDIRECT(UT46),1)),INDEX(INDIRECT(UT46),MATCH(RumpfkraftGerundet[[#This Row],[Rundung]],INDIRECT(UT46),UT$18)))))</f>
        <v/>
      </c>
      <c r="UW46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6" s="36" t="str">
        <f ca="1">IF(OR(UT46="",RumpfkraftSkalawert[[#This Row],[Skala-Wert]]=Stammdaten!$AX$19),"",INDEX(INDIRECT(UW46),MATCH(RumpfkraftSkalawert[[#This Row],[Skala-Wert]],INDIRECT(UT46),0)))</f>
        <v/>
      </c>
      <c r="UY46" s="31"/>
      <c r="UZ46" s="190" t="str">
        <f>IF(SechzigmLaufResultat[[#This Row],[Resultat]]=0,"",SechzigmLaufResultat[[#This Row],[Resultat]])</f>
        <v/>
      </c>
      <c r="VA46" s="190"/>
      <c r="VB46" s="45" t="str">
        <f ca="1">SechzigmLaufSkalawert[[#This Row],[Skala-Wert]]</f>
        <v/>
      </c>
      <c r="VD46" s="31" t="str">
        <f ca="1">SechzigmLaufNote[[#This Row],[Note]]</f>
        <v/>
      </c>
      <c r="VE46" s="31"/>
      <c r="VF46" s="190" t="str">
        <f>IF(AchtzigmLaufResultat[[#This Row],[Resultat]]=0,"",AchtzigmLaufResultat[[#This Row],[Resultat]])</f>
        <v/>
      </c>
      <c r="VG46" s="190"/>
      <c r="VH46" s="45" t="str">
        <f ca="1">AchtzigmLaufSkalawert[[#This Row],[Skala-Wert]]</f>
        <v/>
      </c>
      <c r="VJ46" s="31" t="str">
        <f ca="1">AchtzigmLaufNote[[#This Row],[Note]]</f>
        <v/>
      </c>
      <c r="VK46" s="31"/>
      <c r="VL46" s="37"/>
      <c r="VM46" s="190"/>
      <c r="VN46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6" s="191" t="str">
        <f>IF(OR(Geschlecht[[#This Row],[Geschlecht (Skala)]]="",VL$16=""),"",MID(Geschlecht[[#This Row],[Geschlecht (Skala)]],1,1)&amp;MID(VL$16,1,1))</f>
        <v/>
      </c>
      <c r="VP46" s="190" t="str">
        <f>IF(OR(VO46="",KonditionsparcoursResultat[[#This Row],[Resultat]]=""),"",REPLACE(INDEX(StdDisziplinen[TabÜberschriftResultat],VL$3),FIND("X",INDEX(StdDisziplinen[TabÜberschriftResultat],VL$3),1),2,VO46))</f>
        <v/>
      </c>
      <c r="VQ46" s="192" t="str">
        <f ca="1">IF(VP46="","",IF(OR(KonditionsparcoursResultat[[#This Row],[Resultat]]=Stammdaten!$AX$22,KonditionsparcoursResultat[[#This Row],[Resultat]]=Stammdaten!$AX$19),Stammdaten!$AX$19,IF(ISNA(INDEX(INDIRECT(VP46),MATCH(KonditionsparcoursGerundet[[#This Row],[Rundung]],INDIRECT(VP46),VP$18))),IF(VP$18=-1,LARGE(INDIRECT(VP46),1),SMALL(INDIRECT(VP46),1)),INDEX(INDIRECT(VP46),MATCH(KonditionsparcoursGerundet[[#This Row],[Rundung]],INDIRECT(VP46),VP$18)))))</f>
        <v/>
      </c>
      <c r="VS46" s="18" t="str">
        <f ca="1">IF(KonditionsparcoursSkalawert[[#This Row],[Skala-Wert]]="","",REPLACE(INDEX(StdDisziplinen[TabÜberschriftNote],VL$3),FIND("X",INDEX(StdDisziplinen[TabÜberschriftNote],VL$3),1),2,VO46))</f>
        <v/>
      </c>
      <c r="VT46" s="31" t="str">
        <f ca="1">IF(OR(VS46="",KonditionsparcoursSkalawert[[#This Row],[Skala-Wert]]=Stammdaten!$AX$19),"",INDEX(INDIRECT(VS46),MATCH(KonditionsparcoursSkalawert[[#This Row],[Skala-Wert]],INDIRECT(VP46),0)))</f>
        <v/>
      </c>
      <c r="VU46" s="22"/>
    </row>
    <row r="47" spans="1:593" x14ac:dyDescent="0.3">
      <c r="A47" s="30">
        <v>29</v>
      </c>
      <c r="B47" s="589"/>
      <c r="C47" s="589"/>
      <c r="E47" s="591"/>
      <c r="G47" s="37"/>
      <c r="H47" s="190"/>
      <c r="I47" s="154">
        <f>IF(I$16,IF(J$16=0.5,MROUND(SechzigmLaufResultat[[#This Row],[Resultat]],J$16),ROUND(SechzigmLaufResultat[[#This Row],[Resultat]],J$16)),ROUNDDOWN(SechzigmLaufResultat[[#This Row],[Resultat]],J$16))</f>
        <v>0</v>
      </c>
      <c r="J47" s="191" t="str">
        <f>IF(OR(Geschlecht[[#This Row],[Geschlecht (Skala)]]="",G$16=""),"",MID(Geschlecht[[#This Row],[Geschlecht (Skala)]],1,1)&amp;MID(G$16,1,1))</f>
        <v/>
      </c>
      <c r="K47" s="190" t="str">
        <f>IF(OR(J47="",SechzigmLaufResultat[[#This Row],[Resultat]]=""),"",REPLACE(INDEX(StdDisziplinen[TabÜberschriftResultat],G$3),FIND("X",INDEX(StdDisziplinen[TabÜberschriftResultat],G$3),1),2,J47))</f>
        <v/>
      </c>
      <c r="L47" s="45" t="str">
        <f ca="1">IF(K47="","",IF(OR(SechzigmLaufResultat[[#This Row],[Resultat]]=Stammdaten!$AX$22,SechzigmLaufResultat[[#This Row],[Resultat]]=Stammdaten!$AX$19),Stammdaten!$AX$19,IF(ISNA(INDEX(INDIRECT(K47),MATCH(SechzigmLaufGerundet[[#This Row],[Rundung]],INDIRECT(K47),K$18))),IF(K$18=-1,LARGE(INDIRECT(K47),1),SMALL(INDIRECT(K47),1)),INDEX(INDIRECT(K47),MATCH(SechzigmLaufGerundet[[#This Row],[Rundung]],INDIRECT(K47),K$18)))))</f>
        <v/>
      </c>
      <c r="N47" s="18" t="str">
        <f ca="1">IF(SechzigmLaufSkalawert[[#This Row],[Skala-Wert]]="","",REPLACE(INDEX(StdDisziplinen[TabÜberschriftNote],G$3),FIND("X",INDEX(StdDisziplinen[TabÜberschriftNote],G$3),1),2,J47))</f>
        <v/>
      </c>
      <c r="O47" s="31" t="str">
        <f ca="1">IF(OR(N47="",SechzigmLaufSkalawert[[#This Row],[Skala-Wert]]=Stammdaten!$AX$19),"",INDEX(INDIRECT(N47),MATCH(SechzigmLaufSkalawert[[#This Row],[Skala-Wert]],INDIRECT(K47),0)))</f>
        <v/>
      </c>
      <c r="P47" s="31"/>
      <c r="Q47" s="37"/>
      <c r="R47" s="190"/>
      <c r="S47" s="154">
        <f>IF(S$16,IF(T$16=0.5,MROUND(AchtzigmLaufResultat[[#This Row],[Resultat]],T$16),ROUND(AchtzigmLaufResultat[[#This Row],[Resultat]],T$16)),ROUNDDOWN(AchtzigmLaufResultat[[#This Row],[Resultat]],T$16))</f>
        <v>0</v>
      </c>
      <c r="T47" s="191" t="str">
        <f>IF(OR(Geschlecht[[#This Row],[Geschlecht (Skala)]]="",Q$16=""),"",MID(Geschlecht[[#This Row],[Geschlecht (Skala)]],1,1)&amp;MID(Q$16,1,1))</f>
        <v/>
      </c>
      <c r="U47" s="190" t="str">
        <f>IF(OR(T47="",AchtzigmLaufResultat[[#This Row],[Resultat]]=""),"",REPLACE(INDEX(StdDisziplinen[TabÜberschriftResultat],Q$3),FIND("X",INDEX(StdDisziplinen[TabÜberschriftResultat],Q$3),1),2,T47))</f>
        <v/>
      </c>
      <c r="V47" s="45" t="str">
        <f ca="1">IF(U47="","",IF(OR(AchtzigmLaufResultat[[#This Row],[Resultat]]=Stammdaten!$AX$22,AchtzigmLaufResultat[[#This Row],[Resultat]]=Stammdaten!$AX$19),Stammdaten!$AX$19,IF(ISNA(INDEX(INDIRECT(U47),MATCH(AchtzigmLaufGerundet[[#This Row],[Rundung]],INDIRECT(U47),U$18))),IF(U$18=-1,LARGE(INDIRECT(U47),1),SMALL(INDIRECT(U47),1)),INDEX(INDIRECT(U47),MATCH(AchtzigmLaufGerundet[[#This Row],[Rundung]],INDIRECT(U47),U$18)))))</f>
        <v/>
      </c>
      <c r="X47" s="18" t="str">
        <f ca="1">IF(AchtzigmLaufSkalawert[[#This Row],[Skala-Wert]]="","",REPLACE(INDEX(StdDisziplinen[TabÜberschriftNote],Q$3),FIND("X",INDEX(StdDisziplinen[TabÜberschriftNote],Q$3),1),2,T47))</f>
        <v/>
      </c>
      <c r="Y47" s="31" t="str">
        <f ca="1">IF(OR(X47="",AchtzigmLaufSkalawert[[#This Row],[Skala-Wert]]=Stammdaten!$AX$19),"",INDEX(INDIRECT(X47),MATCH(AchtzigmLaufSkalawert[[#This Row],[Skala-Wert]],INDIRECT(U47),0)))</f>
        <v/>
      </c>
      <c r="Z47" s="31"/>
      <c r="AA47" s="37"/>
      <c r="AB47" s="190"/>
      <c r="AC47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7" s="191" t="str">
        <f>IF(OR(Geschlecht[[#This Row],[Geschlecht (Skala)]]="",AA$16=""),"",MID(Geschlecht[[#This Row],[Geschlecht (Skala)]],1,1)&amp;MID(AA$16,1,1))</f>
        <v/>
      </c>
      <c r="AE47" s="190" t="str">
        <f>IF(OR(AD47="",ZwölfMinLaufHalleResultat[[#This Row],[Resultat]]=""),"",REPLACE(INDEX(StdDisziplinen[TabÜberschriftResultat],AA$3),FIND("X",INDEX(StdDisziplinen[TabÜberschriftResultat],AA$3),1),2,AD47))</f>
        <v/>
      </c>
      <c r="AF47" s="31" t="str">
        <f ca="1">IF(AE47="","",IF(OR(ZwölfMinLaufHalleResultat[[#This Row],[Resultat]]=Stammdaten!$AX$22,ZwölfMinLaufHalleResultat[[#This Row],[Resultat]]=Stammdaten!$AX$19),Stammdaten!$AX$19,IF(ISNA(INDEX(INDIRECT(AE47),MATCH(ZwölfMinLaufHalleGerundet[[#This Row],[Rundung]],INDIRECT(AE47),AE$18))),IF(AE$18=-1,LARGE(INDIRECT(AE47),1),SMALL(INDIRECT(AE47),1)),INDEX(INDIRECT(AE47),MATCH(ZwölfMinLaufHalleGerundet[[#This Row],[Rundung]],INDIRECT(AE47),AE$18)))))</f>
        <v/>
      </c>
      <c r="AH47" s="18" t="str">
        <f ca="1">IF(ZwölfMinLaufHalleSkalawert[[#This Row],[Skala-Wert]]="","",REPLACE(INDEX(StdDisziplinen[TabÜberschriftNote],AA$3),FIND("X",INDEX(StdDisziplinen[TabÜberschriftNote],AA$3),1),2,AD47))</f>
        <v/>
      </c>
      <c r="AI47" s="31" t="str">
        <f ca="1">IF(OR(AH47="",ZwölfMinLaufHalleSkalawert[[#This Row],[Skala-Wert]]=Stammdaten!$AX$19),"",INDEX(INDIRECT(AH47),MATCH(ZwölfMinLaufHalleSkalawert[[#This Row],[Skala-Wert]],INDIRECT(AE47),0)))</f>
        <v/>
      </c>
      <c r="AJ47" s="31"/>
      <c r="AK47" s="597"/>
      <c r="AL47" s="190"/>
      <c r="AM47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7" s="191" t="str">
        <f>IF(OR(Geschlecht[[#This Row],[Geschlecht (Skala)]]="",AK$16=""),"",MID(Geschlecht[[#This Row],[Geschlecht (Skala)]],1,1)&amp;MID(AK$16,1,1))</f>
        <v/>
      </c>
      <c r="AO47" s="190" t="str">
        <f>IF(OR(AN47="",ZwölfMinLaufimFreienResultat[[#This Row],[Resultat]]=""),"",REPLACE(INDEX(StdDisziplinen[TabÜberschriftResultat],AK$3),FIND("X",INDEX(StdDisziplinen[TabÜberschriftResultat],AK$3),1),2,AN47))</f>
        <v/>
      </c>
      <c r="AP47" s="192" t="str">
        <f ca="1">IF(AO47="","",IF(OR(ZwölfMinLaufimFreienResultat[[#This Row],[Resultat]]=Stammdaten!$AX$22,ZwölfMinLaufimFreienResultat[[#This Row],[Resultat]]=Stammdaten!$AX$19),Stammdaten!$AX$19,IF(ISNA(INDEX(INDIRECT(AO47),MATCH(ZwölfMinLaufimFreienGerundet[[#This Row],[Rundung]],INDIRECT(AO47),AO$18))),IF(AO$18=-1,LARGE(INDIRECT(AO47),1),SMALL(INDIRECT(AO47),1)),INDEX(INDIRECT(AO47),MATCH(ZwölfMinLaufimFreienGerundet[[#This Row],[Rundung]],INDIRECT(AO47),AO$18)))))</f>
        <v/>
      </c>
      <c r="AR47" s="18" t="str">
        <f ca="1">IF(ZwölfMinLaufimFreienSkalawert[[#This Row],[Skala-Wert]]="","",REPLACE(INDEX(StdDisziplinen[TabÜberschriftNote],AK$3),FIND("X",INDEX(StdDisziplinen[TabÜberschriftNote],AK$3),1),2,AN47))</f>
        <v/>
      </c>
      <c r="AS47" s="31" t="str">
        <f ca="1">IF(OR(AR47="",ZwölfMinLaufimFreienSkalawert[[#This Row],[Skala-Wert]]=Stammdaten!$AX$19),"",INDEX(INDIRECT(AR47),MATCH(ZwölfMinLaufimFreienSkalawert[[#This Row],[Skala-Wert]],INDIRECT(AO47),0)))</f>
        <v/>
      </c>
      <c r="AT47" s="31"/>
      <c r="AU47" s="597"/>
      <c r="AV47" s="190"/>
      <c r="AW47" s="587">
        <f>IF(AW$16,IF(AX$16=0.5,MROUND(HochsprungResultat[[#This Row],[Resultat]],AX$16),ROUND(HochsprungResultat[[#This Row],[Resultat]],AX$16)),ROUNDDOWN(HochsprungResultat[[#This Row],[Resultat]],AX$16))</f>
        <v>0</v>
      </c>
      <c r="AX47" s="191" t="str">
        <f>IF(OR(Geschlecht[[#This Row],[Geschlecht (Skala)]]="",AU$16=""),"",MID(Geschlecht[[#This Row],[Geschlecht (Skala)]],1,1)&amp;MID(AU$16,1,1))</f>
        <v/>
      </c>
      <c r="AY47" s="190" t="str">
        <f>IF(OR(AX47="",HochsprungResultat[[#This Row],[Resultat]]=""),"",REPLACE(INDEX(StdDisziplinen[TabÜberschriftResultat],AU$3),FIND("X",INDEX(StdDisziplinen[TabÜberschriftResultat],AU$3),1),2,AX47))</f>
        <v/>
      </c>
      <c r="AZ47" s="192" t="str">
        <f ca="1">IF(AY47="","",IF(OR(HochsprungResultat[[#This Row],[Resultat]]=Stammdaten!$AX$22,HochsprungResultat[[#This Row],[Resultat]]=Stammdaten!$AX$19),Stammdaten!$AX$19,IF(ISNA(INDEX(INDIRECT(AY47),MATCH(HochsprungGerundet[[#This Row],[Rundung]],INDIRECT(AY47),AY$18))),IF(AY$18=-1,LARGE(INDIRECT(AY47),1),SMALL(INDIRECT(AY47),1)),INDEX(INDIRECT(AY47),MATCH(HochsprungGerundet[[#This Row],[Rundung]],INDIRECT(AY47),AY$18)))))</f>
        <v/>
      </c>
      <c r="BB47" s="18" t="str">
        <f ca="1">IF(HochsprungSkalawert[[#This Row],[Skala-Wert]]="","",REPLACE(INDEX(StdDisziplinen[TabÜberschriftNote],AU$3),FIND("X",INDEX(StdDisziplinen[TabÜberschriftNote],AU$3),1),2,AX47))</f>
        <v/>
      </c>
      <c r="BC47" s="31" t="str">
        <f ca="1">IF(OR(BB47="",HochsprungSkalawert[[#This Row],[Skala-Wert]]=Stammdaten!$AX$19),"",INDEX(INDIRECT(BB47),MATCH(HochsprungSkalawert[[#This Row],[Skala-Wert]],INDIRECT(AY47),0)))</f>
        <v/>
      </c>
      <c r="BD47" s="31"/>
      <c r="BE47" s="597"/>
      <c r="BF47" s="190"/>
      <c r="BG47" s="587">
        <f>IF(BG$16,IF(BH$16=0.5,MROUND(WeitsprungResultat[[#This Row],[Resultat]],BH$16),ROUND(WeitsprungResultat[[#This Row],[Resultat]],BH$16)),ROUNDDOWN(WeitsprungResultat[[#This Row],[Resultat]],BH$16))</f>
        <v>0</v>
      </c>
      <c r="BH47" s="191" t="str">
        <f>IF(OR(Geschlecht[[#This Row],[Geschlecht (Skala)]]="",BE$16=""),"",MID(Geschlecht[[#This Row],[Geschlecht (Skala)]],1,1)&amp;MID(BE$16,1,1))</f>
        <v/>
      </c>
      <c r="BI47" s="190" t="str">
        <f>IF(OR(BH47="",WeitsprungResultat[[#This Row],[Resultat]]=""),"",REPLACE(INDEX(StdDisziplinen[TabÜberschriftResultat],BE$3),FIND("X",INDEX(StdDisziplinen[TabÜberschriftResultat],BE$3),1),2,BH47))</f>
        <v/>
      </c>
      <c r="BJ47" s="192" t="str">
        <f ca="1">IF(BI47="","",IF(OR(WeitsprungResultat[[#This Row],[Resultat]]=Stammdaten!$AX$22,WeitsprungResultat[[#This Row],[Resultat]]=Stammdaten!$AX$19),Stammdaten!$AX$19,IF(ISNA(INDEX(INDIRECT(BI47),MATCH(WeitsprungGerundet[[#This Row],[Rundung]],INDIRECT(BI47),BI$18))),IF(BI$18=-1,LARGE(INDIRECT(BI47),1),SMALL(INDIRECT(BI47),1)),INDEX(INDIRECT(BI47),MATCH(WeitsprungGerundet[[#This Row],[Rundung]],INDIRECT(BI47),BI$18)))))</f>
        <v/>
      </c>
      <c r="BL47" s="18" t="str">
        <f ca="1">IF(WeitsprungSkalawert[[#This Row],[Skala-Wert]]="","",REPLACE(INDEX(StdDisziplinen[TabÜberschriftNote],BE$3),FIND("X",INDEX(StdDisziplinen[TabÜberschriftNote],BE$3),1),2,BH47))</f>
        <v/>
      </c>
      <c r="BM47" s="31" t="str">
        <f ca="1">IF(OR(BL47="",WeitsprungSkalawert[[#This Row],[Skala-Wert]]=Stammdaten!$AX$19),"",INDEX(INDIRECT(BL47),MATCH(WeitsprungSkalawert[[#This Row],[Skala-Wert]],INDIRECT(BI47),0)))</f>
        <v/>
      </c>
      <c r="BN47" s="31"/>
      <c r="BO47" s="37"/>
      <c r="BP47" s="190"/>
      <c r="BQ47" s="154">
        <f>IF(BQ$16,IF(BR$16=0.5,MROUND(BallwurfResultat[[#This Row],[Resultat]],BR$16),ROUND(BallwurfResultat[[#This Row],[Resultat]],BR$16)),ROUNDDOWN(BallwurfResultat[[#This Row],[Resultat]],BR$16))</f>
        <v>0</v>
      </c>
      <c r="BR47" s="191" t="str">
        <f>IF(OR(Geschlecht[[#This Row],[Geschlecht (Skala)]]="",BO$16=""),"",MID(Geschlecht[[#This Row],[Geschlecht (Skala)]],1,1)&amp;MID(BO$16,1,1))</f>
        <v/>
      </c>
      <c r="BS47" s="190" t="str">
        <f>IF(OR(BR47="",BallwurfResultat[[#This Row],[Resultat]]=""),"",REPLACE(INDEX(StdDisziplinen[TabÜberschriftResultat],BO$3),FIND("X",INDEX(StdDisziplinen[TabÜberschriftResultat],BO$3),1),2,BR47))</f>
        <v/>
      </c>
      <c r="BT47" s="45" t="str">
        <f ca="1">IF(BS47="","",IF(OR(BallwurfResultat[[#This Row],[Resultat]]=Stammdaten!$AX$22,BallwurfResultat[[#This Row],[Resultat]]=Stammdaten!$AX$19),Stammdaten!$AX$19,IF(ISNA(INDEX(INDIRECT(BS47),MATCH(BallwurfGerundet[[#This Row],[Rundung]],INDIRECT(BS47),BS$18))),IF(BS$18=-1,LARGE(INDIRECT(BS47),1),SMALL(INDIRECT(BS47),1)),INDEX(INDIRECT(BS47),MATCH(BallwurfGerundet[[#This Row],[Rundung]],INDIRECT(BS47),BS$18)))))</f>
        <v/>
      </c>
      <c r="BV47" s="18" t="str">
        <f ca="1">IF(BallwurfSkalawert[[#This Row],[Skala-Wert]]="","",REPLACE(INDEX(StdDisziplinen[TabÜberschriftNote],BO$3),FIND("X",INDEX(StdDisziplinen[TabÜberschriftNote],BO$3),1),2,BR47))</f>
        <v/>
      </c>
      <c r="BW47" s="31" t="str">
        <f ca="1">IF(OR(BV47="",BallwurfSkalawert[[#This Row],[Skala-Wert]]=Stammdaten!$AX$19),"",INDEX(INDIRECT(BV47),MATCH(BallwurfSkalawert[[#This Row],[Skala-Wert]],INDIRECT(BS47),0)))</f>
        <v/>
      </c>
      <c r="BX47" s="31"/>
      <c r="BY47" s="598"/>
      <c r="BZ47" s="190"/>
      <c r="CA47" s="154">
        <f>IF(CA$16,IF(CB$16=0.5,MROUND(KugelstossenResultat[[#This Row],[Resultat]],CB$16),ROUND(KugelstossenResultat[[#This Row],[Resultat]],CB$16)),ROUNDDOWN(KugelstossenResultat[[#This Row],[Resultat]],CB$16))</f>
        <v>0</v>
      </c>
      <c r="CB47" s="191" t="str">
        <f>IF(OR(Geschlecht[[#This Row],[Geschlecht (Skala)]]="",BY$16=""),"",MID(Geschlecht[[#This Row],[Geschlecht (Skala)]],1,1)&amp;MID(BY$16,1,1))</f>
        <v/>
      </c>
      <c r="CC47" s="190" t="str">
        <f>IF(OR(CB47="",KugelstossenResultat[[#This Row],[Resultat]]=""),"",REPLACE(INDEX(StdDisziplinen[TabÜberschriftResultat],BY$3),FIND("X",INDEX(StdDisziplinen[TabÜberschriftResultat],BY$3),1),2,CB47))</f>
        <v/>
      </c>
      <c r="CD47" s="45" t="str">
        <f ca="1">IF(CC47="","",IF(OR(KugelstossenResultat[[#This Row],[Resultat]]=Stammdaten!$AX$22,KugelstossenResultat[[#This Row],[Resultat]]=Stammdaten!$AX$19),Stammdaten!$AX$19,IF(ISNA(INDEX(INDIRECT(CC47),MATCH(KugelstossenGerundet[[#This Row],[Rundung]],INDIRECT(CC47),CC$18))),IF(CC$18=-1,LARGE(INDIRECT(CC47),1),SMALL(INDIRECT(CC47),1)),INDEX(INDIRECT(CC47),MATCH(KugelstossenGerundet[[#This Row],[Rundung]],INDIRECT(CC47),CC$18)))))</f>
        <v/>
      </c>
      <c r="CF47" s="18" t="str">
        <f ca="1">IF(KugelstossenSkalawert[[#This Row],[Skala-Wert]]="","",REPLACE(INDEX(StdDisziplinen[TabÜberschriftNote],BY$3),FIND("X",INDEX(StdDisziplinen[TabÜberschriftNote],BY$3),1),2,CB47))</f>
        <v/>
      </c>
      <c r="CG47" s="31" t="str">
        <f ca="1">IF(OR(CF47="",KugelstossenSkalawert[[#This Row],[Skala-Wert]]=Stammdaten!$AX$19),"",INDEX(INDIRECT(CF47),MATCH(KugelstossenSkalawert[[#This Row],[Skala-Wert]],INDIRECT(CC47),0)))</f>
        <v/>
      </c>
      <c r="CH47" s="31"/>
      <c r="CI47" s="37"/>
      <c r="CJ47" s="190"/>
      <c r="CK47" s="154">
        <f>IF(CK$16,IF(CL$16=0.5,MROUND(SpeerwurfResultat[[#This Row],[Resultat]],CL$16),ROUND(SpeerwurfResultat[[#This Row],[Resultat]],CL$16)),ROUNDDOWN(SpeerwurfResultat[[#This Row],[Resultat]],CL$16))</f>
        <v>0</v>
      </c>
      <c r="CL47" s="191" t="str">
        <f>IF(OR(Geschlecht[[#This Row],[Geschlecht (Skala)]]="",CI$16=""),"",MID(Geschlecht[[#This Row],[Geschlecht (Skala)]],1,1)&amp;MID(CI$16,1,1))</f>
        <v/>
      </c>
      <c r="CM47" s="190" t="str">
        <f>IF(OR(CL47="",SpeerwurfResultat[[#This Row],[Resultat]]=""),"",REPLACE(INDEX(StdDisziplinen[TabÜberschriftResultat],CI$3),FIND("X",INDEX(StdDisziplinen[TabÜberschriftResultat],CI$3),1),2,CL47))</f>
        <v/>
      </c>
      <c r="CN47" s="45" t="str">
        <f ca="1">IF(CM47="","",IF(OR(SpeerwurfResultat[[#This Row],[Resultat]]=Stammdaten!$AX$22,SpeerwurfResultat[[#This Row],[Resultat]]=Stammdaten!$AX$19),Stammdaten!$AX$19,IF(ISNA(INDEX(INDIRECT(CM47),MATCH(SpeerwurfGerundet[[#This Row],[Rundung]],INDIRECT(CM47),CM$18))),IF(CM$18=-1,LARGE(INDIRECT(CM47),1),SMALL(INDIRECT(CM47),1)),INDEX(INDIRECT(CM47),MATCH(SpeerwurfGerundet[[#This Row],[Rundung]],INDIRECT(CM47),CM$18)))))</f>
        <v/>
      </c>
      <c r="CP47" s="18" t="str">
        <f ca="1">IF(SpeerwurfSkalawert[[#This Row],[Skala-Wert]]="","",REPLACE(INDEX(StdDisziplinen[TabÜberschriftNote],CI$3),FIND("X",INDEX(StdDisziplinen[TabÜberschriftNote],CI$3),1),2,CL47))</f>
        <v/>
      </c>
      <c r="CQ47" s="31" t="str">
        <f ca="1">IF(OR(CP47="",SpeerwurfSkalawert[[#This Row],[Skala-Wert]]=Stammdaten!$AX$19),"",INDEX(INDIRECT(CP47),MATCH(SpeerwurfSkalawert[[#This Row],[Skala-Wert]],INDIRECT(CM47),0)))</f>
        <v/>
      </c>
      <c r="CR47" s="31"/>
      <c r="CS47" s="31" t="str">
        <f t="shared" ca="1" si="50"/>
        <v/>
      </c>
      <c r="CT47" s="31" t="str">
        <f t="shared" ca="1" si="50"/>
        <v/>
      </c>
      <c r="CU47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Row],[Skala-Wert]])&gt;0,MAX(CS47:CT47),99))</f>
        <v>Keine Note</v>
      </c>
      <c r="CV47" s="202" t="str">
        <f t="shared" ca="1" si="51"/>
        <v/>
      </c>
      <c r="CW47" s="202" t="str">
        <f ca="1">IF(CV47=$A$2,CS$10&amp;Stammdaten!$AX$25,IF(CU47=INDEX(StdFehler[],3),CS$10&amp;Stammdaten!$AX$27,INDEX(INDIRECT($B$4),MATCH(CV47,INDIRECT($B$5),0))))</f>
        <v>Sprintdisziplinen nicht durchgeführt</v>
      </c>
      <c r="CX47" s="202" t="str">
        <f ca="1">IFERROR(INDEX(INDIRECT(CX$12),MATCH(CV47,StdDisziplinen[ID],0)),"")</f>
        <v/>
      </c>
      <c r="CY47" s="202" t="e">
        <f t="shared" ca="1" si="52"/>
        <v>#N/A</v>
      </c>
      <c r="CZ47" s="202" t="e">
        <f t="shared" ca="1" si="53"/>
        <v>#N/A</v>
      </c>
      <c r="DA47" s="98" t="str">
        <f t="shared" ca="1" si="223"/>
        <v/>
      </c>
      <c r="DB47" s="202" t="e">
        <f t="shared" ca="1" si="54"/>
        <v>#N/A</v>
      </c>
      <c r="DC47" s="202" t="str">
        <f t="shared" ca="1" si="55"/>
        <v/>
      </c>
      <c r="DD47" s="31" t="str">
        <f t="shared" ca="1" si="56"/>
        <v/>
      </c>
      <c r="DE47" s="31" t="str">
        <f t="shared" ca="1" si="56"/>
        <v/>
      </c>
      <c r="DF47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Row],[Skala-Wert]])&gt;0,MAX(DD47:DE47),99))</f>
        <v>Keine Note</v>
      </c>
      <c r="DG47" s="202" t="str">
        <f t="shared" ca="1" si="57"/>
        <v/>
      </c>
      <c r="DH47" s="202" t="str">
        <f ca="1">IF(DG47=$A$2,DD$10&amp;Stammdaten!$AX$25,IF(DF47=INDEX(StdFehler[],3),DD$10&amp;Stammdaten!$AX$27,INDEX(INDIRECT($B$4),MATCH(DG47,INDIRECT($B$5),0))))</f>
        <v>Ausdauerdisziplinen nicht durchgeführt</v>
      </c>
      <c r="DI47" s="202" t="str">
        <f ca="1">IFERROR(INDEX(INDIRECT(DI$12),MATCH(DG47,StdDisziplinen[ID],0)),"")</f>
        <v/>
      </c>
      <c r="DJ47" s="202" t="e">
        <f t="shared" ca="1" si="58"/>
        <v>#N/A</v>
      </c>
      <c r="DK47" s="202" t="e">
        <f t="shared" ca="1" si="59"/>
        <v>#N/A</v>
      </c>
      <c r="DL47" s="96" t="str">
        <f t="shared" ca="1" si="60"/>
        <v/>
      </c>
      <c r="DM47" s="202" t="e">
        <f t="shared" ca="1" si="61"/>
        <v>#N/A</v>
      </c>
      <c r="DN47" s="202" t="str">
        <f t="shared" ca="1" si="62"/>
        <v/>
      </c>
      <c r="DO47" s="31" t="str">
        <f t="shared" ca="1" si="63"/>
        <v/>
      </c>
      <c r="DP47" s="31" t="str">
        <f t="shared" ca="1" si="63"/>
        <v/>
      </c>
      <c r="DQ47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Row],[Skala-Wert]])&gt;0,MAX(DO47:DP47),99))</f>
        <v>Keine Note</v>
      </c>
      <c r="DR47" s="202" t="str">
        <f t="shared" ca="1" si="64"/>
        <v/>
      </c>
      <c r="DS47" s="202" t="str">
        <f ca="1">IF(DR47=$A$2,DO$10&amp;Stammdaten!$AX$25,IF(DQ47=INDEX(StdFehler[],3),DO$10&amp;Stammdaten!$AX$27,INDEX(INDIRECT($B$4),MATCH(DR47,INDIRECT($B$5),0))))</f>
        <v>Sprungdisziplinen nicht durchgeführt</v>
      </c>
      <c r="DT47" s="202" t="str">
        <f ca="1">IFERROR(INDEX(INDIRECT(DT$12),MATCH(DR47,StdDisziplinen[ID],0)),"")</f>
        <v/>
      </c>
      <c r="DU47" s="202" t="e">
        <f t="shared" ca="1" si="65"/>
        <v>#N/A</v>
      </c>
      <c r="DV47" s="202" t="e">
        <f t="shared" ca="1" si="66"/>
        <v>#N/A</v>
      </c>
      <c r="DW47" s="202" t="str">
        <f t="shared" ca="1" si="67"/>
        <v/>
      </c>
      <c r="DX47" s="202" t="e">
        <f t="shared" ca="1" si="68"/>
        <v>#N/A</v>
      </c>
      <c r="DY47" s="202" t="str">
        <f t="shared" ca="1" si="69"/>
        <v/>
      </c>
      <c r="DZ47" s="31" t="str">
        <f ca="1">IF(BallwurfSkalawert[[#This Row],[Skala-Wert]]=$A$3,$A$2,IF(ISNUMBER(BallwurfSkalawert[[#This Row],[Skala-Wert]]),BallwurfNote[[#This Row],[Note]],"!"))</f>
        <v>!</v>
      </c>
      <c r="EA47" s="31" t="str">
        <f ca="1">IF(KugelstossenSkalawert[[#This Row],[Skala-Wert]]=$A$3,$A$2,IF(ISNUMBER(KugelstossenSkalawert[[#This Row],[Skala-Wert]]),KugelstossenNote[[#This Row],[Note]],"!"))</f>
        <v>!</v>
      </c>
      <c r="EB47" s="31" t="str">
        <f ca="1">IF(SpeerwurfSkalawert[[#This Row],[Skala-Wert]]=$A$3,$A$2,IF(ISNUMBER(SpeerwurfSkalawert[[#This Row],[Skala-Wert]]),SpeerwurfNote[[#This Row],[Note]],"!"))</f>
        <v>!</v>
      </c>
      <c r="EC47" s="95" t="str">
        <f ca="1">IF(ED47&gt;0,MAX(DZ47:EB47),IF(EE47&gt;0,99,INDEX(StdFehler[StdFehler],3)))</f>
        <v>Keine Note</v>
      </c>
      <c r="ED47" s="202">
        <f t="shared" ca="1" si="70"/>
        <v>0</v>
      </c>
      <c r="EE47" s="202">
        <f t="shared" ca="1" si="71"/>
        <v>0</v>
      </c>
      <c r="EF47" s="202" t="str">
        <f t="shared" ca="1" si="72"/>
        <v/>
      </c>
      <c r="EG47" s="202" t="str">
        <f ca="1">IF(EF47=$A$2,DZ$10&amp;Stammdaten!$AX$25,IF(EC47=INDEX(StdFehler[],3),DZ$10&amp;Stammdaten!$AX$27,INDEX(INDIRECT($B$4),MATCH(EF47,INDIRECT($B$5),0))))</f>
        <v>Wurfdisziplinen nicht durchgeführt</v>
      </c>
      <c r="EH47" s="202" t="str">
        <f ca="1">IFERROR(INDEX(INDIRECT(EH$12),MATCH(EF47,StdDisziplinen[ID],0)),"")</f>
        <v/>
      </c>
      <c r="EI47" s="202" t="e">
        <f t="shared" ca="1" si="73"/>
        <v>#N/A</v>
      </c>
      <c r="EJ47" s="202" t="e">
        <f t="shared" ca="1" si="74"/>
        <v>#N/A</v>
      </c>
      <c r="EK47" s="98" t="str">
        <f t="shared" ca="1" si="75"/>
        <v/>
      </c>
      <c r="EL47" s="202" t="e">
        <f t="shared" ca="1" si="76"/>
        <v>#N/A</v>
      </c>
      <c r="EM47" s="202" t="str">
        <f t="shared" ca="1" si="77"/>
        <v/>
      </c>
      <c r="EN47" s="200">
        <f t="shared" ca="1" si="1"/>
        <v>0</v>
      </c>
      <c r="EO47" s="202">
        <f t="shared" ca="1" si="78"/>
        <v>0</v>
      </c>
      <c r="EP47" s="96">
        <f t="shared" ca="1" si="2"/>
        <v>0</v>
      </c>
      <c r="EQ47" s="96">
        <f t="shared" ca="1" si="3"/>
        <v>0</v>
      </c>
      <c r="ER47" s="96">
        <f t="shared" ca="1" si="4"/>
        <v>0</v>
      </c>
      <c r="ES47" s="96">
        <f t="shared" ca="1" si="5"/>
        <v>0</v>
      </c>
      <c r="ET47" s="202">
        <f t="shared" ca="1" si="79"/>
        <v>0</v>
      </c>
      <c r="EU47" s="202" t="str">
        <f ca="1">IF($EO47=$FA$4,Stammdaten!$AX$19,IF(COUNTIF($EP47:$ES47,0)&lt;&gt;0,INDEX(StdFehler[StdFehler],4),ROUND(SUM($ET47/$EN47)/$FC$4,0)*$FC$4))</f>
        <v>Zu wenige Noten</v>
      </c>
      <c r="EV47" s="202" t="str">
        <f t="shared" ca="1" si="6"/>
        <v>Zu wenige Noten</v>
      </c>
      <c r="EW47" s="202" t="str">
        <f t="shared" ca="1" si="80"/>
        <v>Zu wenige Noten</v>
      </c>
      <c r="EX47" s="202" t="str">
        <f t="shared" ca="1" si="80"/>
        <v>Zu wenige Noten</v>
      </c>
      <c r="EY47" s="202" t="str">
        <f t="shared" ca="1" si="80"/>
        <v>Zu wenige Noten</v>
      </c>
      <c r="EZ47" s="202" t="str">
        <f t="shared" ca="1" si="81"/>
        <v>Zu wenige Noten</v>
      </c>
      <c r="FA47" s="202" t="str">
        <f t="shared" ca="1" si="82"/>
        <v>Zu wenige Noten</v>
      </c>
      <c r="FB47" s="31"/>
      <c r="FC47" s="56" t="str">
        <f t="shared" ca="1" si="83"/>
        <v>Zu wenige Noten</v>
      </c>
      <c r="FD47" s="31"/>
      <c r="FE47" s="597"/>
      <c r="FF47" s="190"/>
      <c r="FJ47" s="31"/>
      <c r="FK47" s="597"/>
      <c r="FL47" s="190"/>
      <c r="FP47" s="31"/>
      <c r="FQ47" s="597"/>
      <c r="FR47" s="190"/>
      <c r="FV47" s="31"/>
      <c r="FW47" s="597"/>
      <c r="FX47" s="190"/>
      <c r="GB47" s="31"/>
      <c r="GC47" s="597"/>
      <c r="GD47" s="190"/>
      <c r="GF47" s="154"/>
      <c r="GH47" s="31"/>
      <c r="GI47" s="597"/>
      <c r="GJ47" s="190"/>
      <c r="GN47" s="45"/>
      <c r="GO47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7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7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7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7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7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7" s="202">
        <f t="shared" si="7"/>
        <v>0</v>
      </c>
      <c r="GV47" s="202">
        <f t="shared" si="8"/>
        <v>0</v>
      </c>
      <c r="GW47" s="202">
        <f t="shared" si="84"/>
        <v>0</v>
      </c>
      <c r="GX47" s="200" t="str">
        <f t="shared" si="85"/>
        <v>!</v>
      </c>
      <c r="GY47" s="200" t="str">
        <f t="shared" si="9"/>
        <v>!</v>
      </c>
      <c r="GZ47" s="200" t="str">
        <f t="shared" si="10"/>
        <v>!</v>
      </c>
      <c r="HA47" s="244" t="str">
        <f t="shared" si="86"/>
        <v>nd</v>
      </c>
      <c r="HB47" s="244" t="str">
        <f t="shared" si="87"/>
        <v>nd</v>
      </c>
      <c r="HC47" s="244" t="str">
        <f t="shared" si="88"/>
        <v>nd</v>
      </c>
      <c r="HD47" s="244" t="str">
        <f t="shared" si="89"/>
        <v>nd</v>
      </c>
      <c r="HE47" s="244" t="str">
        <f t="shared" si="90"/>
        <v>nd</v>
      </c>
      <c r="HF47" s="244" t="str">
        <f t="shared" si="91"/>
        <v>nd</v>
      </c>
      <c r="HG47" s="202" t="b">
        <f t="shared" si="92"/>
        <v>0</v>
      </c>
      <c r="HH47" s="202">
        <f t="shared" si="93"/>
        <v>1</v>
      </c>
      <c r="HI47" s="202">
        <f t="shared" si="94"/>
        <v>0</v>
      </c>
      <c r="HJ47" s="200" t="str">
        <f t="shared" si="95"/>
        <v/>
      </c>
      <c r="HK47" s="200" t="str">
        <f t="shared" si="96"/>
        <v/>
      </c>
      <c r="HL47" s="200">
        <f t="shared" si="97"/>
        <v>0</v>
      </c>
      <c r="HM47" s="202" t="str">
        <f t="shared" si="98"/>
        <v/>
      </c>
      <c r="HN47" s="200" t="str">
        <f t="shared" si="99"/>
        <v/>
      </c>
      <c r="HO47" s="200" t="str">
        <f t="shared" si="100"/>
        <v/>
      </c>
      <c r="HP47" s="200" t="str">
        <f t="shared" si="101"/>
        <v/>
      </c>
      <c r="HQ47" s="242" t="str">
        <f t="shared" si="102"/>
        <v/>
      </c>
      <c r="HR47" s="242" t="str">
        <f t="shared" si="103"/>
        <v/>
      </c>
      <c r="HS47" s="242" t="str">
        <f t="shared" si="104"/>
        <v/>
      </c>
      <c r="HT47" s="242" t="str">
        <f t="shared" ca="1" si="105"/>
        <v>Erstes Gerät</v>
      </c>
      <c r="HU47" s="242" t="str">
        <f ca="1">IF(HT47=$HS$12,Stammdaten!$AY$27,IF(HW47=$A$2,TRIM(Stammdaten!$AX$25),""))</f>
        <v>nicht durchgeführt</v>
      </c>
      <c r="HV47" s="242" t="str">
        <f t="shared" ca="1" si="106"/>
        <v/>
      </c>
      <c r="HW47" s="277" t="str">
        <f t="shared" si="11"/>
        <v/>
      </c>
      <c r="HX47" s="202" t="str">
        <f t="shared" si="107"/>
        <v/>
      </c>
      <c r="HY47" s="202" t="str">
        <f t="shared" ca="1" si="108"/>
        <v/>
      </c>
      <c r="HZ47" s="202" t="str">
        <f t="shared" ca="1" si="109"/>
        <v>StdDisziplinen[MaxTextSt]</v>
      </c>
      <c r="IA47" s="202" t="str">
        <f t="shared" ca="1" si="12"/>
        <v/>
      </c>
      <c r="IB47" s="202" t="b">
        <f t="shared" si="110"/>
        <v>0</v>
      </c>
      <c r="IC47" s="202" t="str">
        <f t="shared" si="111"/>
        <v/>
      </c>
      <c r="ID47" s="202" t="str">
        <f t="shared" si="112"/>
        <v/>
      </c>
      <c r="IE47" s="202" t="str">
        <f t="shared" si="113"/>
        <v/>
      </c>
      <c r="IF47" s="202" t="str">
        <f t="shared" si="114"/>
        <v/>
      </c>
      <c r="IG47" s="242" t="str">
        <f t="shared" si="115"/>
        <v/>
      </c>
      <c r="IH47" s="242" t="str">
        <f t="shared" si="116"/>
        <v/>
      </c>
      <c r="II47" s="242" t="str">
        <f t="shared" ca="1" si="13"/>
        <v>Zweites Gerät</v>
      </c>
      <c r="IJ47" s="242" t="str">
        <f ca="1">IF(II47=$IH$12,Stammdaten!$AY$27,IF(IL47=$A$2,TRIM(Stammdaten!$AX$25),""))</f>
        <v>nicht durchgeführt</v>
      </c>
      <c r="IK47" s="242" t="str">
        <f t="shared" ca="1" si="117"/>
        <v/>
      </c>
      <c r="IL47" s="200" t="str">
        <f t="shared" si="14"/>
        <v/>
      </c>
      <c r="IM47" s="202" t="str">
        <f t="shared" si="118"/>
        <v/>
      </c>
      <c r="IN47" s="202" t="str">
        <f t="shared" ca="1" si="119"/>
        <v/>
      </c>
      <c r="IO47" s="202" t="str">
        <f t="shared" ca="1" si="120"/>
        <v>StdDisziplinen[MaxTextSt]</v>
      </c>
      <c r="IP47" s="202" t="str">
        <f t="shared" ca="1" si="121"/>
        <v/>
      </c>
      <c r="IQ47" s="202" t="b">
        <f t="shared" si="122"/>
        <v>0</v>
      </c>
      <c r="IR47" s="242" t="str">
        <f t="shared" ca="1" si="15"/>
        <v>Drittes Gerät</v>
      </c>
      <c r="IS47" s="242" t="str">
        <f ca="1">IF(IR47=$IR$12,MID(Stammdaten!$AX$27,2,LEN(Stammdaten!$AX$27)),IF(IU47=$A$2,TRIM(Stammdaten!$AX$25),""))</f>
        <v>nicht durchgeführt</v>
      </c>
      <c r="IT47" s="242" t="str">
        <f t="shared" ca="1" si="16"/>
        <v/>
      </c>
      <c r="IU47" s="200" t="str">
        <f t="shared" si="17"/>
        <v/>
      </c>
      <c r="IV47" s="202" t="str">
        <f t="shared" si="123"/>
        <v/>
      </c>
      <c r="IW47" s="202" t="str">
        <f t="shared" ca="1" si="124"/>
        <v/>
      </c>
      <c r="IX47" s="202" t="str">
        <f t="shared" ca="1" si="125"/>
        <v>StdDisziplinen[MaxTextSt]</v>
      </c>
      <c r="IY47" s="202" t="str">
        <f t="shared" ca="1" si="18"/>
        <v/>
      </c>
      <c r="IZ47" s="200" t="str">
        <f>IF(NOT(GW47),INDEX(StdFehler[StdFehler],4),IF(COUNTIF(GX47:GZ47,$A$2)&gt;=$IZ$4,$A$3,SUM(GX47:GZ47)))</f>
        <v>Zu wenige Noten</v>
      </c>
      <c r="JA47" s="31"/>
      <c r="JB47" s="587" t="e">
        <f t="shared" si="19"/>
        <v>#VALUE!</v>
      </c>
      <c r="JC47" s="191" t="str">
        <f>IF(OR(Geschlecht[[#This Row],[Geschlecht (Skala)]]="",IZ47=""),"",MID(Geschlecht[[#This Row],[Geschlecht (Skala)]],1,1)&amp;MID($FE$16,1,1))</f>
        <v/>
      </c>
      <c r="JD47" s="190" t="str">
        <f>IF(OR(JC47="",IZ47=""),"",REPLACE(INDEX(StdDisziplinen[TabÜberschriftResultat],$FE$3),FIND("X",INDEX(StdDisziplinen[TabÜberschriftResultat],$FE$3),1),2,JC47))</f>
        <v/>
      </c>
      <c r="JE47" s="192" t="str">
        <f ca="1">IF(OR(JD47="",IZ47=Stammdaten!$AZ$5),"",IF(OR(IZ47=Stammdaten!$AX$22,IZ47=Stammdaten!$AX$19),Stammdaten!$AX$19,IF(ISNA(INDEX(INDIRECT(JD47),MATCH(GeräteturnenGerundet[[#This Row],[Rundung]],INDIRECT(JD47),$JD$16))),IF($JD$16=-1,LARGE(INDIRECT(JD47),1),SMALL(INDIRECT(JD47),1)),INDEX(INDIRECT(JD47),MATCH(GeräteturnenGerundet[[#This Row],[Rundung]],INDIRECT(JD47),$JD$16)))))</f>
        <v/>
      </c>
      <c r="JG47" s="18" t="str">
        <f ca="1">IF(GeräteturnenSkalawert[[#This Row],[Skala-Wert]]="","",REPLACE(INDEX(StdDisziplinen[TabÜberschriftNote],$FE$3),FIND("X",INDEX(StdDisziplinen[TabÜberschriftNote],$FE$3),1),2,JC47))</f>
        <v/>
      </c>
      <c r="JH47" s="45" t="str">
        <f ca="1">IF(OR(JG47="",GeräteturnenSkalawert[[#This Row],[Skala-Wert]]=Stammdaten!$AX$19),"",INDEX(INDIRECT(JG47),MATCH(GeräteturnenSkalawert[[#This Row],[Skala-Wert]],INDIRECT(JD47),0)))</f>
        <v/>
      </c>
      <c r="JI47" s="31"/>
      <c r="JJ47" s="597"/>
      <c r="JK47" s="190"/>
      <c r="JL47" s="587">
        <f>IF(JL$16,IF(JM$16=0.5,MROUND(ParkourResultat[[#This Row],[Resultat]],JM$16),ROUND(ParkourResultat[[#This Row],[Resultat]],JM$16)),ROUNDDOWN(ParkourResultat[[#This Row],[Resultat]],JM$16))</f>
        <v>0</v>
      </c>
      <c r="JM47" s="191" t="str">
        <f>IF(OR(Geschlecht[[#This Row],[Geschlecht (Skala)]]="",JJ$16=""),"",MID(Geschlecht[[#This Row],[Geschlecht (Skala)]],1,1)&amp;MID(JJ$16,1,1))</f>
        <v/>
      </c>
      <c r="JN47" s="190" t="str">
        <f>IF(OR(JM47="",ParkourResultat[[#This Row],[Resultat]]=""),"",REPLACE(INDEX(StdDisziplinen[TabÜberschriftResultat],JJ$3),FIND("X",INDEX(StdDisziplinen[TabÜberschriftResultat],JJ$3),1),2,JM47))</f>
        <v/>
      </c>
      <c r="JO47" s="192" t="str">
        <f ca="1">IF(JN47="","",IF(OR(ParkourResultat[[#This Row],[Resultat]]=Stammdaten!$AX$22,ParkourResultat[[#This Row],[Resultat]]=Stammdaten!$AX$19),Stammdaten!$AX$19,IF(ISNA(INDEX(INDIRECT(JN47),MATCH(ParkourGerundet[[#This Row],[Rundung]],INDIRECT(JN47),JN$18))),IF(JN$18=-1,LARGE(INDIRECT(JN47),1),SMALL(INDIRECT(JN47),1)),INDEX(INDIRECT(JN47),MATCH(ParkourGerundet[[#This Row],[Rundung]],INDIRECT(JN47),JN$18)))))</f>
        <v/>
      </c>
      <c r="JQ47" s="18" t="str">
        <f ca="1">IF(ParkourSkalawert[[#This Row],[Skala-Wert]]="","",REPLACE(INDEX(StdDisziplinen[TabÜberschriftNote],JJ$3),FIND("X",INDEX(StdDisziplinen[TabÜberschriftNote],JJ$3),1),2,JM47))</f>
        <v/>
      </c>
      <c r="JR47" s="31" t="str">
        <f ca="1">IF(OR(JQ47="",ParkourSkalawert[[#This Row],[Skala-Wert]]=Stammdaten!$AX$19),"",INDEX(INDIRECT(JQ47),MATCH(ParkourSkalawert[[#This Row],[Skala-Wert]],INDIRECT(JN47),0)))</f>
        <v/>
      </c>
      <c r="JS47" s="96"/>
      <c r="JT47" s="47" t="str">
        <f ca="1">IF(OR(ISNUMBER(ParkourSkalawert[[#This Row],[Skala-Wert]]),ParkourSkalawert[[#This Row],[Skala-Wert]]=$A$3),INDEX(INDIRECT($JU$1),MATCH($JJ$3,INDIRECT($B$5),0)),"")</f>
        <v/>
      </c>
      <c r="JU47" s="200" t="str">
        <f t="shared" ca="1" si="126"/>
        <v>StdDisziplinen[MaxTextSt]</v>
      </c>
      <c r="JV47" s="200" t="str">
        <f t="shared" ca="1" si="127"/>
        <v/>
      </c>
      <c r="JW47" s="98">
        <f ca="1">IF(GeräteturnenSkalawert[[#This Row],[Skala-Wert]]=$A$3,$A$2,IF(GeräteturnenNote[[#This Row],[Note]]="",0,GeräteturnenNote[[#This Row],[Note]]))</f>
        <v>0</v>
      </c>
      <c r="JX47" s="96">
        <f ca="1">IF(ParkourSkalawert[[#This Row],[Skala-Wert]]=$A$3,$A$2,IF(ParkourNote[[#This Row],[Note]]="",0,ParkourNote[[#This Row],[Note]]))</f>
        <v>0</v>
      </c>
      <c r="JY47" s="200">
        <f t="shared" ca="1" si="128"/>
        <v>0</v>
      </c>
      <c r="JZ47" s="200">
        <f t="shared" ca="1" si="129"/>
        <v>0</v>
      </c>
      <c r="KA47" s="202">
        <f t="shared" ca="1" si="130"/>
        <v>0</v>
      </c>
      <c r="KB47" s="98" t="str">
        <f t="shared" ca="1" si="20"/>
        <v>!</v>
      </c>
      <c r="KC47" s="98" t="str">
        <f t="shared" ca="1" si="21"/>
        <v>!</v>
      </c>
      <c r="KD47" s="202" t="str">
        <f ca="1">IF(NOT(KA47),INDEX(StdFehler[StdFehler],4),IF(JZ47=$KA$12,$A$3,IF(JW47=$A$2,JX47,IF(JX47=$A$2,JW47,CONCATENATE(JW47,", ",JX47)))))</f>
        <v>Zu wenige Noten</v>
      </c>
      <c r="KE47" s="202" t="str">
        <f t="shared" ca="1" si="131"/>
        <v>Zu wenige Noten</v>
      </c>
      <c r="KF47" s="31"/>
      <c r="KG47" s="56" t="str">
        <f ca="1">IF(NOT(KA47),INDEX(StdFehler[StdFehler],4),IF(JZ47=$KA$12,$A$3,ROUND(AVERAGE(KB47:KC47)/$KG$4,0)*$KG$4))</f>
        <v>Zu wenige Noten</v>
      </c>
      <c r="KH47" s="31"/>
      <c r="KI47" s="599"/>
      <c r="KJ47" s="190"/>
      <c r="KK47" s="586">
        <f>IF(KK$16,IF(KL$16=0.5,MROUND(TanzenResultat[[#This Row],[Resultat]],KL$16),ROUND(TanzenResultat[[#This Row],[Resultat]],KL$16)),ROUNDDOWN(TanzenResultat[[#This Row],[Resultat]],KL$16))</f>
        <v>0</v>
      </c>
      <c r="KL47" s="191" t="str">
        <f>IF(OR(Geschlecht[[#This Row],[Geschlecht (Skala)]]="",KI$16=""),"",MID(Geschlecht[[#This Row],[Geschlecht (Skala)]],1,1)&amp;MID(KI$16,1,1))</f>
        <v/>
      </c>
      <c r="KM47" s="190" t="str">
        <f>IF(OR(KL47="",TanzenResultat[[#This Row],[Resultat]]=""),"",REPLACE(INDEX(StdDisziplinen[TabÜberschriftResultat],KI$3),FIND("X",INDEX(StdDisziplinen[TabÜberschriftResultat],KI$3),1),2,KL47))</f>
        <v/>
      </c>
      <c r="KN47" s="31" t="str">
        <f ca="1">IF(KM47="","",IF(OR(TanzenResultat[[#This Row],[Resultat]]=Stammdaten!$AX$22,TanzenResultat[[#This Row],[Resultat]]=Stammdaten!$AX$19),Stammdaten!$AX$19,IF(ISNA(INDEX(INDIRECT(KM47),MATCH(TanzenGerundet[[#This Row],[Rundung]],INDIRECT(KM47),KM$18))),IF(KM$18=-1,LARGE(INDIRECT(KM47),1),SMALL(INDIRECT(KM47),1)),INDEX(INDIRECT(KM47),MATCH(TanzenGerundet[[#This Row],[Rundung]],INDIRECT(KM47),KM$18)))))</f>
        <v/>
      </c>
      <c r="KP47" s="18" t="str">
        <f ca="1">IF(TanzenSkalawert[[#This Row],[Skala-Wert]]="","",REPLACE(INDEX(StdDisziplinen[TabÜberschriftNote],KI$3),FIND("X",INDEX(StdDisziplinen[TabÜberschriftNote],KI$3),1),2,KL47))</f>
        <v/>
      </c>
      <c r="KQ47" s="45" t="str">
        <f ca="1">IF(OR(KP47="",TanzenSkalawert[[#This Row],[Skala-Wert]]=Stammdaten!$AX$19),"",INDEX(INDIRECT(KP47),MATCH(TanzenSkalawert[[#This Row],[Skala-Wert]],INDIRECT(KM47),0)))</f>
        <v/>
      </c>
      <c r="KR47" s="31"/>
      <c r="KS47" s="597"/>
      <c r="KT47" s="190"/>
      <c r="KU47" s="587">
        <f>IF(KU$16,IF(KV$16=0.5,MROUND(RopeSkippingResultat[[#This Row],[Resultat]],KV$16),ROUND(RopeSkippingResultat[[#This Row],[Resultat]],KV$16)),ROUNDDOWN(RopeSkippingResultat[[#This Row],[Resultat]],KV$16))</f>
        <v>0</v>
      </c>
      <c r="KV47" s="191" t="str">
        <f>IF(OR(Geschlecht[[#This Row],[Geschlecht (Skala)]]="",KS$16=""),"",MID(Geschlecht[[#This Row],[Geschlecht (Skala)]],1,1)&amp;MID(KS$16,1,1))</f>
        <v/>
      </c>
      <c r="KW47" s="190" t="str">
        <f>IF(OR(KV47="",RopeSkippingResultat[[#This Row],[Resultat]]=""),"",REPLACE(INDEX(StdDisziplinen[TabÜberschriftResultat],KS$3),FIND("X",INDEX(StdDisziplinen[TabÜberschriftResultat],KS$3),1),2,KV47))</f>
        <v/>
      </c>
      <c r="KX47" s="192" t="str">
        <f ca="1">IF(KW47="","",IF(OR(RopeSkippingResultat[[#This Row],[Resultat]]=Stammdaten!$AX$22,RopeSkippingResultat[[#This Row],[Resultat]]=Stammdaten!$AX$19),Stammdaten!$AX$19,IF(ISNA(INDEX(INDIRECT(KW47),MATCH(RopeSkippingGerundet[[#This Row],[Rundung]],INDIRECT(KW47),KW$18))),IF(KW$18=-1,LARGE(INDIRECT(KW47),1),SMALL(INDIRECT(KW47),1)),INDEX(INDIRECT(KW47),MATCH(RopeSkippingGerundet[[#This Row],[Rundung]],INDIRECT(KW47),KW$18)))))</f>
        <v/>
      </c>
      <c r="KZ47" s="18" t="str">
        <f ca="1">IF(RopeSkippingSkalawert[[#This Row],[Skala-Wert]]="","",REPLACE(INDEX(StdDisziplinen[TabÜberschriftNote],KS$3),FIND("X",INDEX(StdDisziplinen[TabÜberschriftNote],KS$3),1),2,KV47))</f>
        <v/>
      </c>
      <c r="LA47" s="45" t="str">
        <f ca="1">IF(OR(KZ47="",RopeSkippingSkalawert[[#This Row],[Skala-Wert]]=Stammdaten!$AX$19),"",INDEX(INDIRECT(KZ47),MATCH(RopeSkippingSkalawert[[#This Row],[Skala-Wert]],INDIRECT(KW47),0)))</f>
        <v/>
      </c>
      <c r="LB47" s="31"/>
      <c r="LC47" s="599"/>
      <c r="LD47" s="190"/>
      <c r="LE47" s="586">
        <f>IF(LE$16,IF(LF$16=0.5,MROUND(AerobicResultat[[#This Row],[Resultat]],LF$16),ROUND(AerobicResultat[[#This Row],[Resultat]],LF$16)),ROUNDDOWN(AerobicResultat[[#This Row],[Resultat]],LF$16))</f>
        <v>0</v>
      </c>
      <c r="LF47" s="191" t="str">
        <f>IF(OR(Geschlecht[[#This Row],[Geschlecht (Skala)]]="",LC$16=""),"",MID(Geschlecht[[#This Row],[Geschlecht (Skala)]],1,1)&amp;MID(LC$16,1,1))</f>
        <v/>
      </c>
      <c r="LG47" s="190" t="str">
        <f>IF(OR(LF47="",AerobicResultat[[#This Row],[Resultat]]=""),"",REPLACE(INDEX(StdDisziplinen[TabÜberschriftResultat],LC$3),FIND("X",INDEX(StdDisziplinen[TabÜberschriftResultat],LC$3),1),2,LF47))</f>
        <v/>
      </c>
      <c r="LH47" s="31" t="str">
        <f ca="1">IF(LG47="","",IF(OR(AerobicResultat[[#This Row],[Resultat]]=Stammdaten!$AX$22,AerobicResultat[[#This Row],[Resultat]]=Stammdaten!$AX$19),Stammdaten!$AX$19,IF(ISNA(INDEX(INDIRECT(LG47),MATCH(AerobicGerundet[[#This Row],[Rundung]],INDIRECT(LG47),LG$18))),IF(LG$18=-1,LARGE(INDIRECT(LG47),1),SMALL(INDIRECT(LG47),1)),INDEX(INDIRECT(LG47),MATCH(AerobicGerundet[[#This Row],[Rundung]],INDIRECT(LG47),LG$18)))))</f>
        <v/>
      </c>
      <c r="LJ47" s="18" t="str">
        <f ca="1">IF(AerobicSkalawert[[#This Row],[Skala-Wert]]="","",REPLACE(INDEX(StdDisziplinen[TabÜberschriftNote],LC$3),FIND("X",INDEX(StdDisziplinen[TabÜberschriftNote],LC$3),1),2,LF47))</f>
        <v/>
      </c>
      <c r="LK47" s="45" t="str">
        <f ca="1">IF(OR(LJ47="",AerobicSkalawert[[#This Row],[Skala-Wert]]=Stammdaten!$AX$19),"",INDEX(INDIRECT(LJ47),MATCH(AerobicSkalawert[[#This Row],[Skala-Wert]],INDIRECT(LG47),0)))</f>
        <v/>
      </c>
      <c r="LL47" s="31"/>
      <c r="LM47" s="45" t="str">
        <f ca="1">IF(TanzenSkalawert[[#This Row],[Skala-Wert]]=$A$3,$A$2,IF(ISNUMBER(TanzenSkalawert[[#This Row],[Skala-Wert]]),TanzenNote[[#This Row],[Note]],"!"))</f>
        <v>!</v>
      </c>
      <c r="LN47" s="45" t="str">
        <f ca="1">IF(RopeSkippingSkalawert[[#This Row],[Skala-Wert]]=$A$3,$A$2,IF(ISNUMBER(RopeSkippingSkalawert[[#This Row],[Skala-Wert]]),RopeSkippingNote[[#This Row],[Note]],"!"))</f>
        <v>!</v>
      </c>
      <c r="LO47" s="45" t="str">
        <f ca="1">IF(AerobicSkalawert[[#This Row],[Skala-Wert]]=$A$3,$A$2,IF(ISNUMBER(AerobicSkalawert[[#This Row],[Skala-Wert]]),AerobicNote[[#This Row],[Note]],"!"))</f>
        <v>!</v>
      </c>
      <c r="LP47" s="36">
        <f t="shared" ca="1" si="132"/>
        <v>0</v>
      </c>
      <c r="LQ47" s="36">
        <f t="shared" ca="1" si="133"/>
        <v>0</v>
      </c>
      <c r="LR47" s="244" t="str">
        <f t="shared" ca="1" si="22"/>
        <v>nd</v>
      </c>
      <c r="LS47" s="244" t="str">
        <f t="shared" ca="1" si="23"/>
        <v>nd</v>
      </c>
      <c r="LT47" s="244" t="str">
        <f t="shared" ca="1" si="24"/>
        <v>nd</v>
      </c>
      <c r="LU47" s="242" t="str">
        <f t="shared" ca="1" si="25"/>
        <v/>
      </c>
      <c r="LV47" s="242" t="str">
        <f t="shared" ca="1" si="134"/>
        <v/>
      </c>
      <c r="LW47" s="242" t="str">
        <f t="shared" ca="1" si="135"/>
        <v/>
      </c>
      <c r="LX47" s="242" t="str">
        <f ca="1">IF(LW47="",Stammdaten!$AM$4,INDEX(INDIRECT($B$4),MATCH($LW47,INDIRECT($B$5),0)))</f>
        <v>Darstellen und Tanzen</v>
      </c>
      <c r="LY47" s="242" t="str">
        <f ca="1">IF(LW47="",Stammdaten!$AY$27,IF(ISNUMBER(LU47),LX47,IF(ISNUMBER(LV47),TRIM(Stammdaten!$AX$25),"")))</f>
        <v>nicht durchgeführt</v>
      </c>
      <c r="LZ47" s="242" t="str">
        <f t="shared" ca="1" si="136"/>
        <v>Darstellen und Tanzen</v>
      </c>
      <c r="MA47" s="242" t="str">
        <f t="shared" ca="1" si="137"/>
        <v/>
      </c>
      <c r="MB47" s="242" t="str">
        <f t="shared" ca="1" si="26"/>
        <v>Darstellen und TanzenResultat[@Resultat]</v>
      </c>
      <c r="MC47" s="274" t="str">
        <f t="shared" ca="1" si="138"/>
        <v/>
      </c>
      <c r="MD47" s="242" t="str">
        <f t="shared" ca="1" si="139"/>
        <v>Darstellen und TanzenSkalawert[@[Skala-Wert]]</v>
      </c>
      <c r="ME47" s="274" t="str">
        <f t="shared" ca="1" si="140"/>
        <v/>
      </c>
      <c r="MF47" s="47" t="str">
        <f t="shared" ca="1" si="27"/>
        <v/>
      </c>
      <c r="MG47" s="200" t="str">
        <f t="shared" ca="1" si="141"/>
        <v>StdDisziplinen[MaxTextSt]</v>
      </c>
      <c r="MH47" s="200" t="str">
        <f t="shared" ca="1" si="142"/>
        <v/>
      </c>
      <c r="MI47" s="45"/>
      <c r="MJ47" s="98" t="str">
        <f ca="1">IF(LP47&gt;0,MAX(LM47:LO47),IF(LQ47&gt;0,$A$3,INDEX(StdFehler[StdFehler],4)))</f>
        <v>Zu wenige Noten</v>
      </c>
      <c r="MK47" s="45"/>
      <c r="ML47" s="37"/>
      <c r="MM47" s="190"/>
      <c r="MN47" s="586">
        <f>IF(MN$16,IF(MO$16=0.5,MROUND(BasketballResultat[[#This Row],[Resultat]],MO$16),ROUND(BasketballResultat[[#This Row],[Resultat]],MO$16)),ROUNDDOWN(BasketballResultat[[#This Row],[Resultat]],MO$16))</f>
        <v>0</v>
      </c>
      <c r="MO47" s="191" t="str">
        <f>IF(OR(Geschlecht[[#This Row],[Geschlecht (Skala)]]="",ML$16=""),"",MID(Geschlecht[[#This Row],[Geschlecht (Skala)]],1,1)&amp;MID(ML$16,1,1))</f>
        <v/>
      </c>
      <c r="MP47" s="190" t="str">
        <f>IF(OR(MO47="",BasketballResultat[[#This Row],[Resultat]]=""),"",REPLACE(INDEX(StdDisziplinen[TabÜberschriftResultat],ML$3),FIND("X",INDEX(StdDisziplinen[TabÜberschriftResultat],ML$3),1),2,MO47))</f>
        <v/>
      </c>
      <c r="MQ47" s="31" t="str">
        <f ca="1">IF(MP47="","",IF(OR(BasketballResultat[[#This Row],[Resultat]]=Stammdaten!$AX$22,BasketballResultat[[#This Row],[Resultat]]=Stammdaten!$AX$19),Stammdaten!$AX$19,IF(ISNA(INDEX(INDIRECT(MP47),MATCH(BasketballGerundet[[#This Row],[Rundung]],INDIRECT(MP47),MP$18))),IF(MP$18=-1,LARGE(INDIRECT(MP47),1),SMALL(INDIRECT(MP47),1)),INDEX(INDIRECT(MP47),MATCH(BasketballGerundet[[#This Row],[Rundung]],INDIRECT(MP47),MP$18)))))</f>
        <v/>
      </c>
      <c r="MS47" s="18" t="str">
        <f ca="1">IF(BasketballSkalawert[[#This Row],[Skala-Wert]]="","",REPLACE(INDEX(StdDisziplinen[TabÜberschriftNote],ML$3),FIND("X",INDEX(StdDisziplinen[TabÜberschriftNote],ML$3),1),2,MO47))</f>
        <v/>
      </c>
      <c r="MT47" s="31" t="str">
        <f ca="1">IF(OR(MS47="",BasketballSkalawert[[#This Row],[Skala-Wert]]=Stammdaten!$AX$19),"",INDEX(INDIRECT(MS47),MATCH(BasketballSkalawert[[#This Row],[Skala-Wert]],INDIRECT(MP47),0)))</f>
        <v/>
      </c>
      <c r="MU47" s="31"/>
      <c r="MV47" s="37"/>
      <c r="MW47" s="190"/>
      <c r="MX47" s="586">
        <f>IF(MX$16,IF(MY$16=0.5,MROUND(FussballResultat[[#This Row],[Resultat]],MY$16),ROUND(FussballResultat[[#This Row],[Resultat]],MY$16)),ROUNDDOWN(FussballResultat[[#This Row],[Resultat]],MY$16))</f>
        <v>0</v>
      </c>
      <c r="MY47" s="191" t="str">
        <f>IF(OR(Geschlecht[[#This Row],[Geschlecht (Skala)]]="",MV$16=""),"",MID(Geschlecht[[#This Row],[Geschlecht (Skala)]],1,1)&amp;MID(MV$16,1,1))</f>
        <v/>
      </c>
      <c r="MZ47" s="190" t="str">
        <f>IF(OR(MY47="",FussballResultat[[#This Row],[Resultat]]=""),"",REPLACE(INDEX(StdDisziplinen[TabÜberschriftResultat],MV$3),FIND("X",INDEX(StdDisziplinen[TabÜberschriftResultat],MV$3),1),2,MY47))</f>
        <v/>
      </c>
      <c r="NA47" s="31" t="str">
        <f ca="1">IF(MZ47="","",IF(OR(FussballResultat[[#This Row],[Resultat]]=Stammdaten!$AX$22,FussballResultat[[#This Row],[Resultat]]=Stammdaten!$AX$19),Stammdaten!$AX$19,IF(ISNA(INDEX(INDIRECT(MZ47),MATCH(FussballGerundet[[#This Row],[Rundung]],INDIRECT(MZ47),MZ$18))),IF(MZ$18=-1,LARGE(INDIRECT(MZ47),1),SMALL(INDIRECT(MZ47),1)),INDEX(INDIRECT(MZ47),MATCH(FussballGerundet[[#This Row],[Rundung]],INDIRECT(MZ47),MZ$18)))))</f>
        <v/>
      </c>
      <c r="NC47" s="18" t="str">
        <f ca="1">IF(FussballSkalawert[[#This Row],[Skala-Wert]]="","",REPLACE(INDEX(StdDisziplinen[TabÜberschriftNote],MV$3),FIND("X",INDEX(StdDisziplinen[TabÜberschriftNote],MV$3),1),2,MY47))</f>
        <v/>
      </c>
      <c r="ND47" s="31" t="str">
        <f ca="1">IF(OR(NC47="",FussballSkalawert[[#This Row],[Skala-Wert]]=Stammdaten!$AX$19),"",INDEX(INDIRECT(NC47),MATCH(FussballSkalawert[[#This Row],[Skala-Wert]],INDIRECT(MZ47),0)))</f>
        <v/>
      </c>
      <c r="NE47" s="31"/>
      <c r="NF47" s="37"/>
      <c r="NG47" s="190"/>
      <c r="NH47" s="586">
        <f>IF(NH$16,IF(NI$16=0.5,MROUND(HandballResultat[[#This Row],[Resultat]],NI$16),ROUND(HandballResultat[[#This Row],[Resultat]],NI$16)),ROUNDDOWN(HandballResultat[[#This Row],[Resultat]],NI$16))</f>
        <v>0</v>
      </c>
      <c r="NI47" s="191" t="str">
        <f>IF(OR(Geschlecht[[#This Row],[Geschlecht (Skala)]]="",NF$16=""),"",MID(Geschlecht[[#This Row],[Geschlecht (Skala)]],1,1)&amp;MID(NF$16,1,1))</f>
        <v/>
      </c>
      <c r="NJ47" s="190" t="str">
        <f>IF(OR(NI47="",HandballResultat[[#This Row],[Resultat]]=""),"",REPLACE(INDEX(StdDisziplinen[TabÜberschriftResultat],NF$3),FIND("X",INDEX(StdDisziplinen[TabÜberschriftResultat],NF$3),1),2,NI47))</f>
        <v/>
      </c>
      <c r="NK47" s="31" t="str">
        <f ca="1">IF(NJ47="","",IF(OR(HandballResultat[[#This Row],[Resultat]]=Stammdaten!$AX$22,HandballResultat[[#This Row],[Resultat]]=Stammdaten!$AX$19),Stammdaten!$AX$19,IF(ISNA(INDEX(INDIRECT(NJ47),MATCH(HandballGerundet[[#This Row],[Rundung]],INDIRECT(NJ47),NJ$18))),IF(NJ$18=-1,LARGE(INDIRECT(NJ47),1),SMALL(INDIRECT(NJ47),1)),INDEX(INDIRECT(NJ47),MATCH(HandballGerundet[[#This Row],[Rundung]],INDIRECT(NJ47),NJ$18)))))</f>
        <v/>
      </c>
      <c r="NM47" s="18" t="str">
        <f ca="1">IF(HandballSkalawert[[#This Row],[Skala-Wert]]="","",REPLACE(INDEX(StdDisziplinen[TabÜberschriftNote],NF$3),FIND("X",INDEX(StdDisziplinen[TabÜberschriftNote],NF$3),1),2,NI47))</f>
        <v/>
      </c>
      <c r="NN47" s="31" t="str">
        <f ca="1">IF(OR(NM47="",HandballSkalawert[[#This Row],[Skala-Wert]]=Stammdaten!$AX$19),"",INDEX(INDIRECT(NM47),MATCH(HandballSkalawert[[#This Row],[Skala-Wert]],INDIRECT(NJ47),0)))</f>
        <v/>
      </c>
      <c r="NO47" s="31"/>
      <c r="NP47" s="37"/>
      <c r="NQ47" s="190"/>
      <c r="NR47" s="586">
        <f>IF(NR$16,IF(NS$16=0.5,MROUND(UnihockeyResultat[[#This Row],[Resultat]],NS$16),ROUND(UnihockeyResultat[[#This Row],[Resultat]],NS$16)),ROUNDDOWN(UnihockeyResultat[[#This Row],[Resultat]],NS$16))</f>
        <v>0</v>
      </c>
      <c r="NS47" s="191" t="str">
        <f>IF(OR(Geschlecht[[#This Row],[Geschlecht (Skala)]]="",NP$16=""),"",MID(Geschlecht[[#This Row],[Geschlecht (Skala)]],1,1)&amp;MID(NP$16,1,1))</f>
        <v/>
      </c>
      <c r="NT47" s="190" t="str">
        <f>IF(OR(NS47="",UnihockeyResultat[[#This Row],[Resultat]]=""),"",REPLACE(INDEX(StdDisziplinen[TabÜberschriftResultat],NP$3),FIND("X",INDEX(StdDisziplinen[TabÜberschriftResultat],NP$3),1),2,NS47))</f>
        <v/>
      </c>
      <c r="NU47" s="31" t="str">
        <f ca="1">IF(NT47="","",IF(OR(UnihockeyResultat[[#This Row],[Resultat]]=Stammdaten!$AX$22,UnihockeyResultat[[#This Row],[Resultat]]=Stammdaten!$AX$19),Stammdaten!$AX$19,IF(ISNA(INDEX(INDIRECT(NT47),MATCH(UnihockeyGerundet[[#This Row],[Rundung]],INDIRECT(NT47),NT$18))),IF(NT$18=-1,LARGE(INDIRECT(NT47),1),SMALL(INDIRECT(NT47),1)),INDEX(INDIRECT(NT47),MATCH(UnihockeyGerundet[[#This Row],[Rundung]],INDIRECT(NT47),NT$18)))))</f>
        <v/>
      </c>
      <c r="NW47" s="18" t="str">
        <f ca="1">IF(UnihockeySkalawert[[#This Row],[Skala-Wert]]="","",REPLACE(INDEX(StdDisziplinen[TabÜberschriftNote],NP$3),FIND("X",INDEX(StdDisziplinen[TabÜberschriftNote],NP$3),1),2,NS47))</f>
        <v/>
      </c>
      <c r="NX47" s="31" t="str">
        <f ca="1">IF(OR(NW47="",UnihockeySkalawert[[#This Row],[Skala-Wert]]=Stammdaten!$AX$19),"",INDEX(INDIRECT(NW47),MATCH(UnihockeySkalawert[[#This Row],[Skala-Wert]],INDIRECT(NT47),0)))</f>
        <v/>
      </c>
      <c r="NY47" s="31"/>
      <c r="NZ47" s="597"/>
      <c r="OA47" s="190"/>
      <c r="OB47" s="587">
        <f>IF(OB$16,IF(OC$16=0.5,MROUND(VolleyballResultat[[#This Row],[Resultat]],OC$16),ROUND(VolleyballResultat[[#This Row],[Resultat]],OC$16)),ROUNDDOWN(VolleyballResultat[[#This Row],[Resultat]],OC$16))</f>
        <v>0</v>
      </c>
      <c r="OC47" s="191" t="str">
        <f>IF(OR(Geschlecht[[#This Row],[Geschlecht (Skala)]]="",NZ$16=""),"",MID(Geschlecht[[#This Row],[Geschlecht (Skala)]],1,1)&amp;MID(NZ$16,1,1))</f>
        <v/>
      </c>
      <c r="OD47" s="190" t="str">
        <f>IF(OR(OC47="",VolleyballResultat[[#This Row],[Resultat]]=""),"",REPLACE(INDEX(StdDisziplinen[TabÜberschriftResultat],NZ$3),FIND("X",INDEX(StdDisziplinen[TabÜberschriftResultat],NZ$3),1),2,OC47))</f>
        <v/>
      </c>
      <c r="OE47" s="192" t="str">
        <f ca="1">IF(OD47="","",IF(OR(VolleyballResultat[[#This Row],[Resultat]]=Stammdaten!$AX$22,VolleyballResultat[[#This Row],[Resultat]]=Stammdaten!$AX$19),Stammdaten!$AX$19,IF(ISNA(INDEX(INDIRECT(OD47),MATCH(VolleyballGerundet[[#This Row],[Rundung]],INDIRECT(OD47),OD$18))),IF(OD$18=-1,LARGE(INDIRECT(OD47),1),SMALL(INDIRECT(OD47),1)),INDEX(INDIRECT(OD47),MATCH(VolleyballGerundet[[#This Row],[Rundung]],INDIRECT(OD47),OD$18)))))</f>
        <v/>
      </c>
      <c r="OG47" s="18" t="str">
        <f ca="1">IF(VolleyballSkalawert[[#This Row],[Skala-Wert]]="","",REPLACE(INDEX(StdDisziplinen[TabÜberschriftNote],NZ$3),FIND("X",INDEX(StdDisziplinen[TabÜberschriftNote],NZ$3),1),2,OC47))</f>
        <v/>
      </c>
      <c r="OH47" s="31" t="str">
        <f ca="1">IF(OR(OG47="",VolleyballSkalawert[[#This Row],[Skala-Wert]]=Stammdaten!$AX$19),"",INDEX(INDIRECT(OG47),MATCH(VolleyballSkalawert[[#This Row],[Skala-Wert]],INDIRECT(OD47),0)))</f>
        <v/>
      </c>
      <c r="OI47" s="45"/>
      <c r="OJ47" s="31">
        <f ca="1">IF(BasketballSkalawert[[#This Row],[Skala-Wert]]=$A$3,$A$2,IF(BasketballNote[[#This Row],[Note]]="",0,BasketballNote[[#This Row],[Note]]))</f>
        <v>0</v>
      </c>
      <c r="OK47" s="31">
        <f ca="1">IF(FussballSkalawert[[#This Row],[Skala-Wert]]=$A$3,$A$2,IF(FussballNote[[#This Row],[Note]]="",0,FussballNote[[#This Row],[Note]]))</f>
        <v>0</v>
      </c>
      <c r="OL47" s="31">
        <f ca="1">IF(HandballSkalawert[[#This Row],[Skala-Wert]]=$A$3,$A$2,IF(HandballNote[[#This Row],[Note]]="",0,HandballNote[[#This Row],[Note]]))</f>
        <v>0</v>
      </c>
      <c r="OM47" s="31">
        <f ca="1">IF(UnihockeySkalawert[[#This Row],[Skala-Wert]]=$A$3,$A$2,IF(UnihockeyNote[[#This Row],[Note]]="",0,UnihockeyNote[[#This Row],[Note]]))</f>
        <v>0</v>
      </c>
      <c r="ON47" s="31">
        <f ca="1">IF(VolleyballSkalawert[[#This Row],[Skala-Wert]]=$A$3,$A$2,IF(VolleyballNote[[#This Row],[Note]]="",0,VolleyballNote[[#This Row],[Note]]))</f>
        <v>0</v>
      </c>
      <c r="OO47" s="202">
        <f t="shared" ca="1" si="28"/>
        <v>0</v>
      </c>
      <c r="OP47" s="202">
        <f t="shared" ca="1" si="29"/>
        <v>0</v>
      </c>
      <c r="OQ47" s="202">
        <f t="shared" ca="1" si="143"/>
        <v>0</v>
      </c>
      <c r="OR47" s="96" t="str">
        <f t="shared" ca="1" si="144"/>
        <v>!</v>
      </c>
      <c r="OS47" s="96" t="str">
        <f t="shared" ca="1" si="30"/>
        <v>!</v>
      </c>
      <c r="OT47" s="96" t="str">
        <f t="shared" ca="1" si="31"/>
        <v>!</v>
      </c>
      <c r="OU47" s="96" t="str">
        <f ca="1">IF(NOT(OQ47),INDEX(StdFehler[StdFehler],4),IF(COUNTIF(OR47:OT47,$A$2)&gt;=$OQ$13,$A$3,ROUND(AVERAGE(OR47:OT47)/$RX$4,0)*$RX$4))</f>
        <v>Zu wenige Noten</v>
      </c>
      <c r="OV47" s="244" t="str">
        <f t="shared" ca="1" si="145"/>
        <v>nd</v>
      </c>
      <c r="OW47" s="244" t="str">
        <f t="shared" ca="1" si="146"/>
        <v>nd</v>
      </c>
      <c r="OX47" s="244" t="str">
        <f t="shared" ca="1" si="147"/>
        <v>nd</v>
      </c>
      <c r="OY47" s="244" t="str">
        <f t="shared" ca="1" si="148"/>
        <v>nd</v>
      </c>
      <c r="OZ47" s="244" t="str">
        <f t="shared" ca="1" si="149"/>
        <v>nd</v>
      </c>
      <c r="PA47" s="202" t="b">
        <f t="shared" ca="1" si="150"/>
        <v>0</v>
      </c>
      <c r="PB47" s="202">
        <f t="shared" ca="1" si="151"/>
        <v>1</v>
      </c>
      <c r="PC47" s="202">
        <f t="shared" ca="1" si="152"/>
        <v>0</v>
      </c>
      <c r="PD47" s="96" t="str">
        <f t="shared" ca="1" si="153"/>
        <v/>
      </c>
      <c r="PE47" s="96" t="str">
        <f t="shared" ca="1" si="154"/>
        <v/>
      </c>
      <c r="PF47" s="200">
        <f t="shared" ca="1" si="155"/>
        <v>0</v>
      </c>
      <c r="PG47" s="202" t="str">
        <f t="shared" ca="1" si="156"/>
        <v/>
      </c>
      <c r="PH47" s="200" t="str">
        <f t="shared" ca="1" si="157"/>
        <v/>
      </c>
      <c r="PI47" s="200" t="str">
        <f t="shared" ca="1" si="158"/>
        <v/>
      </c>
      <c r="PJ47" s="200" t="str">
        <f t="shared" ca="1" si="159"/>
        <v/>
      </c>
      <c r="PK47" s="242" t="str">
        <f t="shared" ca="1" si="160"/>
        <v/>
      </c>
      <c r="PL47" s="242" t="str">
        <f t="shared" ca="1" si="161"/>
        <v/>
      </c>
      <c r="PM47" s="242" t="str">
        <f t="shared" ca="1" si="162"/>
        <v/>
      </c>
      <c r="PN47" s="242" t="str">
        <f t="shared" ca="1" si="163"/>
        <v>Erste Spielsportart</v>
      </c>
      <c r="PO47" s="242" t="str">
        <f ca="1">IF(PN47=$PM$11,Stammdaten!$AY$27,IF(PR47=$A$2,TRIM(Stammdaten!$AX$25),""))</f>
        <v>nicht durchgeführt</v>
      </c>
      <c r="PP47" s="242" t="str">
        <f t="shared" ca="1" si="164"/>
        <v/>
      </c>
      <c r="PQ47" s="202" t="str">
        <f t="shared" ca="1" si="165"/>
        <v>Erste SpielsportartResultat[@Resultat]</v>
      </c>
      <c r="PR47" s="98" t="str">
        <f t="shared" ca="1" si="166"/>
        <v/>
      </c>
      <c r="PS47" s="202" t="str">
        <f t="shared" ca="1" si="167"/>
        <v/>
      </c>
      <c r="PT47" s="202" t="str">
        <f t="shared" ca="1" si="168"/>
        <v>Erste SpielsportartSkalawert[@[Skala-Wert]]</v>
      </c>
      <c r="PU47" s="98" t="str">
        <f t="shared" ca="1" si="169"/>
        <v/>
      </c>
      <c r="PV47" s="202" t="str">
        <f t="shared" ca="1" si="170"/>
        <v/>
      </c>
      <c r="PW47" s="202" t="str">
        <f t="shared" ca="1" si="171"/>
        <v/>
      </c>
      <c r="PX47" s="202" t="str">
        <f t="shared" ca="1" si="172"/>
        <v>StdDisziplinen[MaxTextSt]</v>
      </c>
      <c r="PY47" s="202" t="str">
        <f t="shared" ca="1" si="173"/>
        <v/>
      </c>
      <c r="PZ47" s="202" t="b">
        <f t="shared" ca="1" si="174"/>
        <v>0</v>
      </c>
      <c r="QA47" s="202" t="str">
        <f t="shared" ca="1" si="175"/>
        <v/>
      </c>
      <c r="QB47" s="202" t="str">
        <f t="shared" ca="1" si="32"/>
        <v/>
      </c>
      <c r="QC47" s="202" t="str">
        <f t="shared" ca="1" si="176"/>
        <v/>
      </c>
      <c r="QD47" s="202" t="str">
        <f t="shared" ca="1" si="177"/>
        <v/>
      </c>
      <c r="QE47" s="242" t="str">
        <f t="shared" ca="1" si="178"/>
        <v/>
      </c>
      <c r="QF47" s="242" t="str">
        <f t="shared" ca="1" si="179"/>
        <v/>
      </c>
      <c r="QG47" s="242" t="str">
        <f t="shared" ca="1" si="180"/>
        <v>Zweite Spielsportart</v>
      </c>
      <c r="QH47" s="242" t="str">
        <f ca="1">IF(QG47=$QF$11,Stammdaten!$AY$27,IF(QK47=$A$2,TRIM(Stammdaten!$AX$25),""))</f>
        <v>nicht durchgeführt</v>
      </c>
      <c r="QI47" s="242" t="str">
        <f t="shared" ca="1" si="181"/>
        <v/>
      </c>
      <c r="QJ47" s="202" t="str">
        <f t="shared" ca="1" si="182"/>
        <v>Zweite SpielsportartResultat[@Resultat]</v>
      </c>
      <c r="QK47" s="98" t="str">
        <f t="shared" ca="1" si="183"/>
        <v/>
      </c>
      <c r="QL47" s="202" t="str">
        <f t="shared" ca="1" si="184"/>
        <v/>
      </c>
      <c r="QM47" s="202" t="str">
        <f t="shared" ca="1" si="185"/>
        <v>Zweite SpielsportartSkalawert[@[Skala-Wert]]</v>
      </c>
      <c r="QN47" s="98" t="str">
        <f t="shared" ca="1" si="186"/>
        <v/>
      </c>
      <c r="QO47" s="202" t="str">
        <f t="shared" ca="1" si="187"/>
        <v/>
      </c>
      <c r="QP47" s="202" t="str">
        <f t="shared" ca="1" si="188"/>
        <v/>
      </c>
      <c r="QQ47" s="202" t="str">
        <f t="shared" ca="1" si="189"/>
        <v>StdDisziplinen[MaxTextSt]</v>
      </c>
      <c r="QR47" s="202" t="str">
        <f t="shared" ca="1" si="190"/>
        <v/>
      </c>
      <c r="QS47" s="202" t="b">
        <f t="shared" ca="1" si="191"/>
        <v>0</v>
      </c>
      <c r="QT47" s="242" t="str">
        <f t="shared" ca="1" si="33"/>
        <v>Dritte Spielsportart</v>
      </c>
      <c r="QU47" s="242" t="str">
        <f ca="1">IF(QT47=$QT$11,MID(Stammdaten!$AX$27,2,LEN(Stammdaten!$AX$27)),IF(QX47=$A$2,TRIM(Stammdaten!$AX$25),""))</f>
        <v>nicht durchgeführt</v>
      </c>
      <c r="QV47" s="242" t="str">
        <f t="shared" ca="1" si="34"/>
        <v/>
      </c>
      <c r="QW47" s="202" t="str">
        <f t="shared" ca="1" si="192"/>
        <v>Dritte SpielsportartResultat[@Resultat]</v>
      </c>
      <c r="QX47" s="98" t="str">
        <f t="shared" ca="1" si="193"/>
        <v/>
      </c>
      <c r="QY47" s="202" t="str">
        <f t="shared" ca="1" si="35"/>
        <v/>
      </c>
      <c r="QZ47" s="202" t="str">
        <f t="shared" ca="1" si="194"/>
        <v>Dritte SpielsportartSkalawert[@[Skala-Wert]]</v>
      </c>
      <c r="RA47" s="98" t="str">
        <f t="shared" ca="1" si="224"/>
        <v/>
      </c>
      <c r="RB47" s="202" t="str">
        <f t="shared" ca="1" si="36"/>
        <v/>
      </c>
      <c r="RC47" s="202" t="str">
        <f t="shared" ca="1" si="196"/>
        <v/>
      </c>
      <c r="RD47" s="202" t="str">
        <f t="shared" ca="1" si="197"/>
        <v>StdDisziplinen[MaxTextSt]</v>
      </c>
      <c r="RE47" s="202" t="str">
        <f t="shared" ca="1" si="37"/>
        <v/>
      </c>
      <c r="RF47" s="244">
        <f t="shared" ca="1" si="38"/>
        <v>99</v>
      </c>
      <c r="RG47" s="244">
        <f t="shared" ca="1" si="39"/>
        <v>99</v>
      </c>
      <c r="RH47" s="244">
        <f t="shared" ca="1" si="40"/>
        <v>99</v>
      </c>
      <c r="RI47" s="244">
        <f t="shared" ca="1" si="41"/>
        <v>99</v>
      </c>
      <c r="RJ47" s="244">
        <f t="shared" ca="1" si="42"/>
        <v>99</v>
      </c>
      <c r="RK47" s="244">
        <f t="shared" ca="1" si="198"/>
        <v>99</v>
      </c>
      <c r="RL47" s="244">
        <f t="shared" ca="1" si="199"/>
        <v>99</v>
      </c>
      <c r="RM47" s="244">
        <f t="shared" ca="1" si="200"/>
        <v>99</v>
      </c>
      <c r="RN47" s="244">
        <f t="shared" ca="1" si="201"/>
        <v>99</v>
      </c>
      <c r="RO47" s="244">
        <f t="shared" ca="1" si="202"/>
        <v>99</v>
      </c>
      <c r="RP47" s="202" t="str">
        <f t="shared" ca="1" si="43"/>
        <v>Zu wenige Noten</v>
      </c>
      <c r="RQ47" s="202" t="str">
        <f t="shared" ca="1" si="203"/>
        <v>Zu wenige Noten</v>
      </c>
      <c r="RR47" s="202" t="str">
        <f t="shared" ca="1" si="203"/>
        <v>Zu wenige Noten</v>
      </c>
      <c r="RS47" s="202" t="str">
        <f t="shared" ca="1" si="204"/>
        <v>Zu wenige Noten</v>
      </c>
      <c r="RT47" s="202" t="str">
        <f t="shared" ca="1" si="204"/>
        <v>Zu wenige Noten</v>
      </c>
      <c r="RU47" s="202" t="str">
        <f t="shared" ca="1" si="205"/>
        <v>Zu wenige Noten</v>
      </c>
      <c r="RV47" s="202" t="str">
        <f t="shared" ca="1" si="206"/>
        <v>Zu wenige Noten</v>
      </c>
      <c r="RW47" s="31"/>
      <c r="RX47" s="56" t="str">
        <f t="shared" ca="1" si="44"/>
        <v>Zu wenige Noten</v>
      </c>
      <c r="RY47" s="31"/>
      <c r="RZ47" s="31" t="str">
        <f t="shared" ca="1" si="45"/>
        <v>Zu wenige Noten</v>
      </c>
      <c r="SA47" s="31" t="str">
        <f t="shared" ca="1" si="46"/>
        <v>Zu wenige Noten</v>
      </c>
      <c r="SB47" s="45" t="str">
        <f t="shared" ca="1" si="47"/>
        <v>Zu wenige Noten</v>
      </c>
      <c r="SC47" s="31" t="str">
        <f t="shared" ca="1" si="207"/>
        <v>Zu wenige Noten</v>
      </c>
      <c r="SD47" s="31" t="str">
        <f t="shared" ca="1" si="208"/>
        <v>Zu wenige Noten</v>
      </c>
      <c r="SE47" s="31" t="str">
        <f t="shared" ca="1" si="225"/>
        <v>Zu wenige Noten</v>
      </c>
      <c r="SF47" s="31" t="str">
        <f t="shared" ca="1" si="209"/>
        <v>Zu wenige Noten</v>
      </c>
      <c r="SG47" s="31" t="str">
        <f t="shared" ca="1" si="226"/>
        <v>Zu wenige Noten</v>
      </c>
      <c r="SH47" s="36">
        <f t="shared" ca="1" si="210"/>
        <v>0</v>
      </c>
      <c r="SI47" s="36">
        <f t="shared" ca="1" si="211"/>
        <v>0</v>
      </c>
      <c r="SJ47" s="36">
        <f t="shared" ca="1" si="212"/>
        <v>0</v>
      </c>
      <c r="SK47" s="31">
        <f t="shared" ca="1" si="213"/>
        <v>99</v>
      </c>
      <c r="SL47" s="31">
        <f t="shared" ca="1" si="214"/>
        <v>99</v>
      </c>
      <c r="SM47" s="36" t="str">
        <f t="shared" ca="1" si="215"/>
        <v>99.0</v>
      </c>
      <c r="SN47" s="31">
        <f t="shared" ca="1" si="216"/>
        <v>99</v>
      </c>
      <c r="SO47" s="36" t="str">
        <f ca="1">IF(NOT(SJ47),INDEX(StdFehler[StdFehler],4),IF(SI47=$SJ$13,$A$3,CONCATENATE(TEXT(SK47,"#.0"),", ",TEXT(SL47,"#.0"),", ",SM47,", ",TEXT(SN47,"#.0"))))</f>
        <v>Zu wenige Noten</v>
      </c>
      <c r="SP47" s="36" t="str">
        <f t="shared" ca="1" si="49"/>
        <v>Zu wenige Noten</v>
      </c>
      <c r="SQ47" s="36" t="str">
        <f t="shared" ca="1" si="49"/>
        <v>Zu wenige Noten</v>
      </c>
      <c r="SR47" s="36" t="str">
        <f t="shared" ca="1" si="49"/>
        <v>Zu wenige Noten</v>
      </c>
      <c r="SS47" s="36" t="str">
        <f t="shared" ca="1" si="49"/>
        <v>Zu wenige Noten</v>
      </c>
      <c r="ST47" s="36" t="str">
        <f t="shared" ca="1" si="217"/>
        <v>Zu wenige Noten</v>
      </c>
      <c r="SU47" s="36"/>
      <c r="SV47" s="214" t="str">
        <f t="shared" si="218"/>
        <v>D</v>
      </c>
      <c r="SW47" s="36"/>
      <c r="SX47" s="214" t="str">
        <f t="shared" si="219"/>
        <v>D</v>
      </c>
      <c r="SY47" s="36"/>
      <c r="SZ47" s="214" t="str">
        <f t="shared" si="220"/>
        <v>D</v>
      </c>
      <c r="TA47" s="36"/>
      <c r="TB47" s="214" t="str">
        <f t="shared" si="221"/>
        <v>D</v>
      </c>
      <c r="TC47" s="31"/>
      <c r="TD47" s="36" t="str">
        <f t="shared" ca="1" si="222"/>
        <v>Zu wenige Noten</v>
      </c>
      <c r="TE47" s="31"/>
      <c r="TF47" s="193" t="str">
        <f ca="1">IF(NOT(SJ47),INDEX(StdFehler[StdFehler],4),IF(SI47=$TF$4,$A$3,ROUND(AVERAGE(RZ47:SC47)/$TF$5,0)*$TF$5))</f>
        <v>Zu wenige Noten</v>
      </c>
      <c r="TH47" s="595" t="str">
        <f>IF(OR($TH$18=Stammdaten!$AX$20,$TH$18=""),Stammdaten!$AX$20,$TH$18)</f>
        <v>Disziplin</v>
      </c>
      <c r="TI47" s="33"/>
      <c r="TJ47" s="33" t="str">
        <f>IF(OR(Geschlecht[[#This Row],[Geschlecht (Skala)]]="",TH47="",TH47=Stammdaten!$AX$20),"",REPLACE(INDEX(StdDisziplinen[TabÜberschriftResultat],TH$3),FIND("XX",INDEX(StdDisziplinen[TabÜberschriftResultat],TH$3),1),2,Geschlecht[[#This Row],[Geschlecht (Skala)]]))</f>
        <v/>
      </c>
      <c r="TK47" s="596"/>
      <c r="TM47" s="37"/>
      <c r="TN47" s="40"/>
      <c r="TO47" s="587">
        <f>IF(TO$16,IF(TP$16=0.5,MROUND(SchwimmenResultat[[#This Row],[Resultat]],TP$16),ROUND(SchwimmenResultat[[#This Row],[Resultat]],TP$16)),ROUNDDOWN(SchwimmenResultat[[#This Row],[Resultat]],TP$16))</f>
        <v>0</v>
      </c>
      <c r="TP47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7" s="153" t="str">
        <f ca="1">IF(TP47="","",IF(OR(SchwimmenResultat[[#This Row],[Resultat]]=Stammdaten!$AX$22,SchwimmenResultat[[#This Row],[Resultat]]=Stammdaten!$AX$19),Stammdaten!$AX$19,IF(ISNA(INDEX(INDIRECT(TP47),MATCH(SchwimmenGerundet[[#This Row],[Rundung]],INDIRECT(TP47),TP$18))),IF(TP$18=-1,LARGE(INDIRECT(TP47),1),SMALL(INDIRECT(TP47),1)),INDEX(INDIRECT(TP47),MATCH(SchwimmenGerundet[[#This Row],[Rundung]],INDIRECT(TP47),TP$18)))))</f>
        <v/>
      </c>
      <c r="TR47" s="33" t="str">
        <f>IF(OR(TP47="",SchwimmenResultat[[#This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7" s="33"/>
      <c r="TT47" s="36" t="str">
        <f ca="1">IF(OR(TR47="",SchwimmenSkalawert[[#This Row],[Skala-Wert]]=Stammdaten!$AX$19),"",INDEX(INDIRECT(TR47),MATCH(SchwimmenSkalawert[[#This Row],[Skala-Wert]],INDIRECT(TP47),0)))</f>
        <v/>
      </c>
      <c r="TU47" s="36"/>
      <c r="TV47" s="190" t="str">
        <f>IF(ZwölfMinLaufHalleResultat[[#This Row],[Resultat]]=0,"",ZwölfMinLaufHalleResultat[[#This Row],[Resultat]])</f>
        <v/>
      </c>
      <c r="TW47" s="190"/>
      <c r="TX47" s="31" t="str">
        <f ca="1">ZwölfMinLaufHalleSkalawert[[#This Row],[Skala-Wert]]</f>
        <v/>
      </c>
      <c r="TZ47" s="31" t="str">
        <f ca="1">ZwölfMinLaufHalleNote[[#This Row],[Note]]</f>
        <v/>
      </c>
      <c r="UA47" s="31"/>
      <c r="UB47" s="190" t="str">
        <f>IF(ZwölfMinLaufimFreienResultat[[#This Row],[Resultat]]=0,"",ZwölfMinLaufimFreienResultat[[#This Row],[Resultat]])</f>
        <v/>
      </c>
      <c r="UC47" s="190"/>
      <c r="UD47" s="192" t="str">
        <f ca="1">ZwölfMinLaufimFreienSkalawert[[#This Row],[Skala-Wert]]</f>
        <v/>
      </c>
      <c r="UF47" s="31" t="str">
        <f ca="1">ZwölfMinLaufimFreienNote[[#This Row],[Note]]</f>
        <v/>
      </c>
      <c r="UG47" s="31"/>
      <c r="UH47" s="597"/>
      <c r="UI47" s="190"/>
      <c r="UJ47" s="587">
        <f>IF(UJ$16,IF(UK$16=0.5,MROUND(BeweglichkeitResultat[[#This Row],[Resultat]],UK$16),ROUND(BeweglichkeitResultat[[#This Row],[Resultat]],UK$16)),ROUNDDOWN(BeweglichkeitResultat[[#This Row],[Resultat]],UK$16))</f>
        <v>0</v>
      </c>
      <c r="UK47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7" s="192" t="str">
        <f ca="1">IF(UK47="","",IF(OR(BeweglichkeitResultat[[#This Row],[Resultat]]=Stammdaten!$AX$22,BeweglichkeitResultat[[#This Row],[Resultat]]=Stammdaten!$AX$19),Stammdaten!$AX$19,IF(ISNA(INDEX(INDIRECT(UK47),MATCH(BeweglichkeitGerundet[[#This Row],[Rundung]],INDIRECT(UK47),UK$18))),IF(UK$18=-1,LARGE(INDIRECT(UK47),1),SMALL(INDIRECT(UK47),1)),INDEX(INDIRECT(UK47),MATCH(BeweglichkeitGerundet[[#This Row],[Rundung]],INDIRECT(UK47),UK$18)))))</f>
        <v/>
      </c>
      <c r="UN47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7" s="36" t="str">
        <f ca="1">IF(OR(UK47="",BeweglichkeitSkalawert[[#This Row],[Skala-Wert]]=Stammdaten!$AX$19),"",INDEX(INDIRECT(UN47),MATCH(BeweglichkeitSkalawert[[#This Row],[Skala-Wert]],INDIRECT(UK47),0)))</f>
        <v/>
      </c>
      <c r="UP47" s="31"/>
      <c r="UQ47" s="597"/>
      <c r="UR47" s="190"/>
      <c r="US47" s="587">
        <f>IF(US$16,IF(UT$16=0.5,MROUND(RumpfkraftResultat[[#This Row],[Resultat]],UT$16),ROUND(RumpfkraftResultat[[#This Row],[Resultat]],UT$16)),ROUNDDOWN(RumpfkraftResultat[[#This Row],[Resultat]],UT$16))</f>
        <v>0</v>
      </c>
      <c r="UT47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7" s="192" t="str">
        <f ca="1">IF(UT47="","",IF(OR(RumpfkraftResultat[[#This Row],[Resultat]]=Stammdaten!$AX$22,RumpfkraftResultat[[#This Row],[Resultat]]=Stammdaten!$AX$19),Stammdaten!$AX$19,IF(ISNA(INDEX(INDIRECT(UT47),MATCH(RumpfkraftGerundet[[#This Row],[Rundung]],INDIRECT(UT47),UT$18))),IF(UT$18=-1,LARGE(INDIRECT(UT47),1),SMALL(INDIRECT(UT47),1)),INDEX(INDIRECT(UT47),MATCH(RumpfkraftGerundet[[#This Row],[Rundung]],INDIRECT(UT47),UT$18)))))</f>
        <v/>
      </c>
      <c r="UW47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7" s="36" t="str">
        <f ca="1">IF(OR(UT47="",RumpfkraftSkalawert[[#This Row],[Skala-Wert]]=Stammdaten!$AX$19),"",INDEX(INDIRECT(UW47),MATCH(RumpfkraftSkalawert[[#This Row],[Skala-Wert]],INDIRECT(UT47),0)))</f>
        <v/>
      </c>
      <c r="UY47" s="31"/>
      <c r="UZ47" s="190" t="str">
        <f>IF(SechzigmLaufResultat[[#This Row],[Resultat]]=0,"",SechzigmLaufResultat[[#This Row],[Resultat]])</f>
        <v/>
      </c>
      <c r="VA47" s="190"/>
      <c r="VB47" s="45" t="str">
        <f ca="1">SechzigmLaufSkalawert[[#This Row],[Skala-Wert]]</f>
        <v/>
      </c>
      <c r="VD47" s="31" t="str">
        <f ca="1">SechzigmLaufNote[[#This Row],[Note]]</f>
        <v/>
      </c>
      <c r="VE47" s="31"/>
      <c r="VF47" s="190" t="str">
        <f>IF(AchtzigmLaufResultat[[#This Row],[Resultat]]=0,"",AchtzigmLaufResultat[[#This Row],[Resultat]])</f>
        <v/>
      </c>
      <c r="VG47" s="190"/>
      <c r="VH47" s="45" t="str">
        <f ca="1">AchtzigmLaufSkalawert[[#This Row],[Skala-Wert]]</f>
        <v/>
      </c>
      <c r="VJ47" s="31" t="str">
        <f ca="1">AchtzigmLaufNote[[#This Row],[Note]]</f>
        <v/>
      </c>
      <c r="VK47" s="31"/>
      <c r="VL47" s="37"/>
      <c r="VM47" s="190"/>
      <c r="VN47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7" s="191" t="str">
        <f>IF(OR(Geschlecht[[#This Row],[Geschlecht (Skala)]]="",VL$16=""),"",MID(Geschlecht[[#This Row],[Geschlecht (Skala)]],1,1)&amp;MID(VL$16,1,1))</f>
        <v/>
      </c>
      <c r="VP47" s="190" t="str">
        <f>IF(OR(VO47="",KonditionsparcoursResultat[[#This Row],[Resultat]]=""),"",REPLACE(INDEX(StdDisziplinen[TabÜberschriftResultat],VL$3),FIND("X",INDEX(StdDisziplinen[TabÜberschriftResultat],VL$3),1),2,VO47))</f>
        <v/>
      </c>
      <c r="VQ47" s="192" t="str">
        <f ca="1">IF(VP47="","",IF(OR(KonditionsparcoursResultat[[#This Row],[Resultat]]=Stammdaten!$AX$22,KonditionsparcoursResultat[[#This Row],[Resultat]]=Stammdaten!$AX$19),Stammdaten!$AX$19,IF(ISNA(INDEX(INDIRECT(VP47),MATCH(KonditionsparcoursGerundet[[#This Row],[Rundung]],INDIRECT(VP47),VP$18))),IF(VP$18=-1,LARGE(INDIRECT(VP47),1),SMALL(INDIRECT(VP47),1)),INDEX(INDIRECT(VP47),MATCH(KonditionsparcoursGerundet[[#This Row],[Rundung]],INDIRECT(VP47),VP$18)))))</f>
        <v/>
      </c>
      <c r="VS47" s="18" t="str">
        <f ca="1">IF(KonditionsparcoursSkalawert[[#This Row],[Skala-Wert]]="","",REPLACE(INDEX(StdDisziplinen[TabÜberschriftNote],VL$3),FIND("X",INDEX(StdDisziplinen[TabÜberschriftNote],VL$3),1),2,VO47))</f>
        <v/>
      </c>
      <c r="VT47" s="31" t="str">
        <f ca="1">IF(OR(VS47="",KonditionsparcoursSkalawert[[#This Row],[Skala-Wert]]=Stammdaten!$AX$19),"",INDEX(INDIRECT(VS47),MATCH(KonditionsparcoursSkalawert[[#This Row],[Skala-Wert]],INDIRECT(VP47),0)))</f>
        <v/>
      </c>
      <c r="VU47" s="22"/>
    </row>
    <row r="48" spans="1:593" x14ac:dyDescent="0.3">
      <c r="A48" s="30">
        <v>30</v>
      </c>
      <c r="B48" s="589"/>
      <c r="C48" s="589"/>
      <c r="E48" s="591"/>
      <c r="G48" s="37"/>
      <c r="H48" s="190"/>
      <c r="I48" s="154">
        <f>IF(I$16,IF(J$16=0.5,MROUND(SechzigmLaufResultat[[#This Row],[Resultat]],J$16),ROUND(SechzigmLaufResultat[[#This Row],[Resultat]],J$16)),ROUNDDOWN(SechzigmLaufResultat[[#This Row],[Resultat]],J$16))</f>
        <v>0</v>
      </c>
      <c r="J48" s="191" t="str">
        <f>IF(OR(Geschlecht[[#This Row],[Geschlecht (Skala)]]="",G$16=""),"",MID(Geschlecht[[#This Row],[Geschlecht (Skala)]],1,1)&amp;MID(G$16,1,1))</f>
        <v/>
      </c>
      <c r="K48" s="190" t="str">
        <f>IF(OR(J48="",SechzigmLaufResultat[[#This Row],[Resultat]]=""),"",REPLACE(INDEX(StdDisziplinen[TabÜberschriftResultat],G$3),FIND("X",INDEX(StdDisziplinen[TabÜberschriftResultat],G$3),1),2,J48))</f>
        <v/>
      </c>
      <c r="L48" s="45" t="str">
        <f ca="1">IF(K48="","",IF(OR(SechzigmLaufResultat[[#This Row],[Resultat]]=Stammdaten!$AX$22,SechzigmLaufResultat[[#This Row],[Resultat]]=Stammdaten!$AX$19),Stammdaten!$AX$19,IF(ISNA(INDEX(INDIRECT(K48),MATCH(SechzigmLaufGerundet[[#This Row],[Rundung]],INDIRECT(K48),K$18))),IF(K$18=-1,LARGE(INDIRECT(K48),1),SMALL(INDIRECT(K48),1)),INDEX(INDIRECT(K48),MATCH(SechzigmLaufGerundet[[#This Row],[Rundung]],INDIRECT(K48),K$18)))))</f>
        <v/>
      </c>
      <c r="N48" s="18" t="str">
        <f ca="1">IF(SechzigmLaufSkalawert[[#This Row],[Skala-Wert]]="","",REPLACE(INDEX(StdDisziplinen[TabÜberschriftNote],G$3),FIND("X",INDEX(StdDisziplinen[TabÜberschriftNote],G$3),1),2,J48))</f>
        <v/>
      </c>
      <c r="O48" s="31" t="str">
        <f ca="1">IF(OR(N48="",SechzigmLaufSkalawert[[#This Row],[Skala-Wert]]=Stammdaten!$AX$19),"",INDEX(INDIRECT(N48),MATCH(SechzigmLaufSkalawert[[#This Row],[Skala-Wert]],INDIRECT(K48),0)))</f>
        <v/>
      </c>
      <c r="P48" s="31"/>
      <c r="Q48" s="37"/>
      <c r="R48" s="190"/>
      <c r="S48" s="154">
        <f>IF(S$16,IF(T$16=0.5,MROUND(AchtzigmLaufResultat[[#This Row],[Resultat]],T$16),ROUND(AchtzigmLaufResultat[[#This Row],[Resultat]],T$16)),ROUNDDOWN(AchtzigmLaufResultat[[#This Row],[Resultat]],T$16))</f>
        <v>0</v>
      </c>
      <c r="T48" s="191" t="str">
        <f>IF(OR(Geschlecht[[#This Row],[Geschlecht (Skala)]]="",Q$16=""),"",MID(Geschlecht[[#This Row],[Geschlecht (Skala)]],1,1)&amp;MID(Q$16,1,1))</f>
        <v/>
      </c>
      <c r="U48" s="190" t="str">
        <f>IF(OR(T48="",AchtzigmLaufResultat[[#This Row],[Resultat]]=""),"",REPLACE(INDEX(StdDisziplinen[TabÜberschriftResultat],Q$3),FIND("X",INDEX(StdDisziplinen[TabÜberschriftResultat],Q$3),1),2,T48))</f>
        <v/>
      </c>
      <c r="V48" s="45" t="str">
        <f ca="1">IF(U48="","",IF(OR(AchtzigmLaufResultat[[#This Row],[Resultat]]=Stammdaten!$AX$22,AchtzigmLaufResultat[[#This Row],[Resultat]]=Stammdaten!$AX$19),Stammdaten!$AX$19,IF(ISNA(INDEX(INDIRECT(U48),MATCH(AchtzigmLaufGerundet[[#This Row],[Rundung]],INDIRECT(U48),U$18))),IF(U$18=-1,LARGE(INDIRECT(U48),1),SMALL(INDIRECT(U48),1)),INDEX(INDIRECT(U48),MATCH(AchtzigmLaufGerundet[[#This Row],[Rundung]],INDIRECT(U48),U$18)))))</f>
        <v/>
      </c>
      <c r="X48" s="18" t="str">
        <f ca="1">IF(AchtzigmLaufSkalawert[[#This Row],[Skala-Wert]]="","",REPLACE(INDEX(StdDisziplinen[TabÜberschriftNote],Q$3),FIND("X",INDEX(StdDisziplinen[TabÜberschriftNote],Q$3),1),2,T48))</f>
        <v/>
      </c>
      <c r="Y48" s="31" t="str">
        <f ca="1">IF(OR(X48="",AchtzigmLaufSkalawert[[#This Row],[Skala-Wert]]=Stammdaten!$AX$19),"",INDEX(INDIRECT(X48),MATCH(AchtzigmLaufSkalawert[[#This Row],[Skala-Wert]],INDIRECT(U48),0)))</f>
        <v/>
      </c>
      <c r="Z48" s="31"/>
      <c r="AA48" s="37"/>
      <c r="AB48" s="190"/>
      <c r="AC48" s="586">
        <f>IF(AC$16,IF(AD$16=0.5,MROUND(ZwölfMinLaufHalleResultat[[#This Row],[Resultat]],AD$16),ROUND(ZwölfMinLaufHalleResultat[[#This Row],[Resultat]],AD$16)),ROUNDDOWN(ZwölfMinLaufHalleResultat[[#This Row],[Resultat]],AD$16))</f>
        <v>0</v>
      </c>
      <c r="AD48" s="191" t="str">
        <f>IF(OR(Geschlecht[[#This Row],[Geschlecht (Skala)]]="",AA$16=""),"",MID(Geschlecht[[#This Row],[Geschlecht (Skala)]],1,1)&amp;MID(AA$16,1,1))</f>
        <v/>
      </c>
      <c r="AE48" s="190" t="str">
        <f>IF(OR(AD48="",ZwölfMinLaufHalleResultat[[#This Row],[Resultat]]=""),"",REPLACE(INDEX(StdDisziplinen[TabÜberschriftResultat],AA$3),FIND("X",INDEX(StdDisziplinen[TabÜberschriftResultat],AA$3),1),2,AD48))</f>
        <v/>
      </c>
      <c r="AF48" s="31" t="str">
        <f ca="1">IF(AE48="","",IF(OR(ZwölfMinLaufHalleResultat[[#This Row],[Resultat]]=Stammdaten!$AX$22,ZwölfMinLaufHalleResultat[[#This Row],[Resultat]]=Stammdaten!$AX$19),Stammdaten!$AX$19,IF(ISNA(INDEX(INDIRECT(AE48),MATCH(ZwölfMinLaufHalleGerundet[[#This Row],[Rundung]],INDIRECT(AE48),AE$18))),IF(AE$18=-1,LARGE(INDIRECT(AE48),1),SMALL(INDIRECT(AE48),1)),INDEX(INDIRECT(AE48),MATCH(ZwölfMinLaufHalleGerundet[[#This Row],[Rundung]],INDIRECT(AE48),AE$18)))))</f>
        <v/>
      </c>
      <c r="AH48" s="18" t="str">
        <f ca="1">IF(ZwölfMinLaufHalleSkalawert[[#This Row],[Skala-Wert]]="","",REPLACE(INDEX(StdDisziplinen[TabÜberschriftNote],AA$3),FIND("X",INDEX(StdDisziplinen[TabÜberschriftNote],AA$3),1),2,AD48))</f>
        <v/>
      </c>
      <c r="AI48" s="31" t="str">
        <f ca="1">IF(OR(AH48="",ZwölfMinLaufHalleSkalawert[[#This Row],[Skala-Wert]]=Stammdaten!$AX$19),"",INDEX(INDIRECT(AH48),MATCH(ZwölfMinLaufHalleSkalawert[[#This Row],[Skala-Wert]],INDIRECT(AE48),0)))</f>
        <v/>
      </c>
      <c r="AJ48" s="31"/>
      <c r="AK48" s="597"/>
      <c r="AL48" s="190"/>
      <c r="AM48" s="587">
        <f>IF(AM$16,IF(AN$16=0.5,MROUND(ZwölfMinLaufimFreienResultat[[#This Row],[Resultat]],AN$16),ROUND(ZwölfMinLaufimFreienResultat[[#This Row],[Resultat]],AN$16)),ROUNDDOWN(ZwölfMinLaufimFreienResultat[[#This Row],[Resultat]],AN$16))</f>
        <v>0</v>
      </c>
      <c r="AN48" s="191" t="str">
        <f>IF(OR(Geschlecht[[#This Row],[Geschlecht (Skala)]]="",AK$16=""),"",MID(Geschlecht[[#This Row],[Geschlecht (Skala)]],1,1)&amp;MID(AK$16,1,1))</f>
        <v/>
      </c>
      <c r="AO48" s="190" t="str">
        <f>IF(OR(AN48="",ZwölfMinLaufimFreienResultat[[#This Row],[Resultat]]=""),"",REPLACE(INDEX(StdDisziplinen[TabÜberschriftResultat],AK$3),FIND("X",INDEX(StdDisziplinen[TabÜberschriftResultat],AK$3),1),2,AN48))</f>
        <v/>
      </c>
      <c r="AP48" s="192" t="str">
        <f ca="1">IF(AO48="","",IF(OR(ZwölfMinLaufimFreienResultat[[#This Row],[Resultat]]=Stammdaten!$AX$22,ZwölfMinLaufimFreienResultat[[#This Row],[Resultat]]=Stammdaten!$AX$19),Stammdaten!$AX$19,IF(ISNA(INDEX(INDIRECT(AO48),MATCH(ZwölfMinLaufimFreienGerundet[[#This Row],[Rundung]],INDIRECT(AO48),AO$18))),IF(AO$18=-1,LARGE(INDIRECT(AO48),1),SMALL(INDIRECT(AO48),1)),INDEX(INDIRECT(AO48),MATCH(ZwölfMinLaufimFreienGerundet[[#This Row],[Rundung]],INDIRECT(AO48),AO$18)))))</f>
        <v/>
      </c>
      <c r="AR48" s="18" t="str">
        <f ca="1">IF(ZwölfMinLaufimFreienSkalawert[[#This Row],[Skala-Wert]]="","",REPLACE(INDEX(StdDisziplinen[TabÜberschriftNote],AK$3),FIND("X",INDEX(StdDisziplinen[TabÜberschriftNote],AK$3),1),2,AN48))</f>
        <v/>
      </c>
      <c r="AS48" s="31" t="str">
        <f ca="1">IF(OR(AR48="",ZwölfMinLaufimFreienSkalawert[[#This Row],[Skala-Wert]]=Stammdaten!$AX$19),"",INDEX(INDIRECT(AR48),MATCH(ZwölfMinLaufimFreienSkalawert[[#This Row],[Skala-Wert]],INDIRECT(AO48),0)))</f>
        <v/>
      </c>
      <c r="AT48" s="31"/>
      <c r="AU48" s="597"/>
      <c r="AV48" s="190"/>
      <c r="AW48" s="587">
        <f>IF(AW$16,IF(AX$16=0.5,MROUND(HochsprungResultat[[#This Row],[Resultat]],AX$16),ROUND(HochsprungResultat[[#This Row],[Resultat]],AX$16)),ROUNDDOWN(HochsprungResultat[[#This Row],[Resultat]],AX$16))</f>
        <v>0</v>
      </c>
      <c r="AX48" s="191" t="str">
        <f>IF(OR(Geschlecht[[#This Row],[Geschlecht (Skala)]]="",AU$16=""),"",MID(Geschlecht[[#This Row],[Geschlecht (Skala)]],1,1)&amp;MID(AU$16,1,1))</f>
        <v/>
      </c>
      <c r="AY48" s="190" t="str">
        <f>IF(OR(AX48="",HochsprungResultat[[#This Row],[Resultat]]=""),"",REPLACE(INDEX(StdDisziplinen[TabÜberschriftResultat],AU$3),FIND("X",INDEX(StdDisziplinen[TabÜberschriftResultat],AU$3),1),2,AX48))</f>
        <v/>
      </c>
      <c r="AZ48" s="192" t="str">
        <f ca="1">IF(AY48="","",IF(OR(HochsprungResultat[[#This Row],[Resultat]]=Stammdaten!$AX$22,HochsprungResultat[[#This Row],[Resultat]]=Stammdaten!$AX$19),Stammdaten!$AX$19,IF(ISNA(INDEX(INDIRECT(AY48),MATCH(HochsprungGerundet[[#This Row],[Rundung]],INDIRECT(AY48),AY$18))),IF(AY$18=-1,LARGE(INDIRECT(AY48),1),SMALL(INDIRECT(AY48),1)),INDEX(INDIRECT(AY48),MATCH(HochsprungGerundet[[#This Row],[Rundung]],INDIRECT(AY48),AY$18)))))</f>
        <v/>
      </c>
      <c r="BB48" s="18" t="str">
        <f ca="1">IF(HochsprungSkalawert[[#This Row],[Skala-Wert]]="","",REPLACE(INDEX(StdDisziplinen[TabÜberschriftNote],AU$3),FIND("X",INDEX(StdDisziplinen[TabÜberschriftNote],AU$3),1),2,AX48))</f>
        <v/>
      </c>
      <c r="BC48" s="31" t="str">
        <f ca="1">IF(OR(BB48="",HochsprungSkalawert[[#This Row],[Skala-Wert]]=Stammdaten!$AX$19),"",INDEX(INDIRECT(BB48),MATCH(HochsprungSkalawert[[#This Row],[Skala-Wert]],INDIRECT(AY48),0)))</f>
        <v/>
      </c>
      <c r="BD48" s="31"/>
      <c r="BE48" s="597"/>
      <c r="BF48" s="190"/>
      <c r="BG48" s="587">
        <f>IF(BG$16,IF(BH$16=0.5,MROUND(WeitsprungResultat[[#This Row],[Resultat]],BH$16),ROUND(WeitsprungResultat[[#This Row],[Resultat]],BH$16)),ROUNDDOWN(WeitsprungResultat[[#This Row],[Resultat]],BH$16))</f>
        <v>0</v>
      </c>
      <c r="BH48" s="191" t="str">
        <f>IF(OR(Geschlecht[[#This Row],[Geschlecht (Skala)]]="",BE$16=""),"",MID(Geschlecht[[#This Row],[Geschlecht (Skala)]],1,1)&amp;MID(BE$16,1,1))</f>
        <v/>
      </c>
      <c r="BI48" s="190" t="str">
        <f>IF(OR(BH48="",WeitsprungResultat[[#This Row],[Resultat]]=""),"",REPLACE(INDEX(StdDisziplinen[TabÜberschriftResultat],BE$3),FIND("X",INDEX(StdDisziplinen[TabÜberschriftResultat],BE$3),1),2,BH48))</f>
        <v/>
      </c>
      <c r="BJ48" s="192" t="str">
        <f ca="1">IF(BI48="","",IF(OR(WeitsprungResultat[[#This Row],[Resultat]]=Stammdaten!$AX$22,WeitsprungResultat[[#This Row],[Resultat]]=Stammdaten!$AX$19),Stammdaten!$AX$19,IF(ISNA(INDEX(INDIRECT(BI48),MATCH(WeitsprungGerundet[[#This Row],[Rundung]],INDIRECT(BI48),BI$18))),IF(BI$18=-1,LARGE(INDIRECT(BI48),1),SMALL(INDIRECT(BI48),1)),INDEX(INDIRECT(BI48),MATCH(WeitsprungGerundet[[#This Row],[Rundung]],INDIRECT(BI48),BI$18)))))</f>
        <v/>
      </c>
      <c r="BL48" s="18" t="str">
        <f ca="1">IF(WeitsprungSkalawert[[#This Row],[Skala-Wert]]="","",REPLACE(INDEX(StdDisziplinen[TabÜberschriftNote],BE$3),FIND("X",INDEX(StdDisziplinen[TabÜberschriftNote],BE$3),1),2,BH48))</f>
        <v/>
      </c>
      <c r="BM48" s="31" t="str">
        <f ca="1">IF(OR(BL48="",WeitsprungSkalawert[[#This Row],[Skala-Wert]]=Stammdaten!$AX$19),"",INDEX(INDIRECT(BL48),MATCH(WeitsprungSkalawert[[#This Row],[Skala-Wert]],INDIRECT(BI48),0)))</f>
        <v/>
      </c>
      <c r="BN48" s="31"/>
      <c r="BO48" s="37"/>
      <c r="BP48" s="190"/>
      <c r="BQ48" s="154">
        <f>IF(BQ$16,IF(BR$16=0.5,MROUND(BallwurfResultat[[#This Row],[Resultat]],BR$16),ROUND(BallwurfResultat[[#This Row],[Resultat]],BR$16)),ROUNDDOWN(BallwurfResultat[[#This Row],[Resultat]],BR$16))</f>
        <v>0</v>
      </c>
      <c r="BR48" s="191" t="str">
        <f>IF(OR(Geschlecht[[#This Row],[Geschlecht (Skala)]]="",BO$16=""),"",MID(Geschlecht[[#This Row],[Geschlecht (Skala)]],1,1)&amp;MID(BO$16,1,1))</f>
        <v/>
      </c>
      <c r="BS48" s="190" t="str">
        <f>IF(OR(BR48="",BallwurfResultat[[#This Row],[Resultat]]=""),"",REPLACE(INDEX(StdDisziplinen[TabÜberschriftResultat],BO$3),FIND("X",INDEX(StdDisziplinen[TabÜberschriftResultat],BO$3),1),2,BR48))</f>
        <v/>
      </c>
      <c r="BT48" s="45" t="str">
        <f ca="1">IF(BS48="","",IF(OR(BallwurfResultat[[#This Row],[Resultat]]=Stammdaten!$AX$22,BallwurfResultat[[#This Row],[Resultat]]=Stammdaten!$AX$19),Stammdaten!$AX$19,IF(ISNA(INDEX(INDIRECT(BS48),MATCH(BallwurfGerundet[[#This Row],[Rundung]],INDIRECT(BS48),BS$18))),IF(BS$18=-1,LARGE(INDIRECT(BS48),1),SMALL(INDIRECT(BS48),1)),INDEX(INDIRECT(BS48),MATCH(BallwurfGerundet[[#This Row],[Rundung]],INDIRECT(BS48),BS$18)))))</f>
        <v/>
      </c>
      <c r="BV48" s="18" t="str">
        <f ca="1">IF(BallwurfSkalawert[[#This Row],[Skala-Wert]]="","",REPLACE(INDEX(StdDisziplinen[TabÜberschriftNote],BO$3),FIND("X",INDEX(StdDisziplinen[TabÜberschriftNote],BO$3),1),2,BR48))</f>
        <v/>
      </c>
      <c r="BW48" s="31" t="str">
        <f ca="1">IF(OR(BV48="",BallwurfSkalawert[[#This Row],[Skala-Wert]]=Stammdaten!$AX$19),"",INDEX(INDIRECT(BV48),MATCH(BallwurfSkalawert[[#This Row],[Skala-Wert]],INDIRECT(BS48),0)))</f>
        <v/>
      </c>
      <c r="BX48" s="31"/>
      <c r="BY48" s="598"/>
      <c r="BZ48" s="190"/>
      <c r="CA48" s="154">
        <f>IF(CA$16,IF(CB$16=0.5,MROUND(KugelstossenResultat[[#This Row],[Resultat]],CB$16),ROUND(KugelstossenResultat[[#This Row],[Resultat]],CB$16)),ROUNDDOWN(KugelstossenResultat[[#This Row],[Resultat]],CB$16))</f>
        <v>0</v>
      </c>
      <c r="CB48" s="191" t="str">
        <f>IF(OR(Geschlecht[[#This Row],[Geschlecht (Skala)]]="",BY$16=""),"",MID(Geschlecht[[#This Row],[Geschlecht (Skala)]],1,1)&amp;MID(BY$16,1,1))</f>
        <v/>
      </c>
      <c r="CC48" s="190" t="str">
        <f>IF(OR(CB48="",KugelstossenResultat[[#This Row],[Resultat]]=""),"",REPLACE(INDEX(StdDisziplinen[TabÜberschriftResultat],BY$3),FIND("X",INDEX(StdDisziplinen[TabÜberschriftResultat],BY$3),1),2,CB48))</f>
        <v/>
      </c>
      <c r="CD48" s="45" t="str">
        <f ca="1">IF(CC48="","",IF(OR(KugelstossenResultat[[#This Row],[Resultat]]=Stammdaten!$AX$22,KugelstossenResultat[[#This Row],[Resultat]]=Stammdaten!$AX$19),Stammdaten!$AX$19,IF(ISNA(INDEX(INDIRECT(CC48),MATCH(KugelstossenGerundet[[#This Row],[Rundung]],INDIRECT(CC48),CC$18))),IF(CC$18=-1,LARGE(INDIRECT(CC48),1),SMALL(INDIRECT(CC48),1)),INDEX(INDIRECT(CC48),MATCH(KugelstossenGerundet[[#This Row],[Rundung]],INDIRECT(CC48),CC$18)))))</f>
        <v/>
      </c>
      <c r="CF48" s="18" t="str">
        <f ca="1">IF(KugelstossenSkalawert[[#This Row],[Skala-Wert]]="","",REPLACE(INDEX(StdDisziplinen[TabÜberschriftNote],BY$3),FIND("X",INDEX(StdDisziplinen[TabÜberschriftNote],BY$3),1),2,CB48))</f>
        <v/>
      </c>
      <c r="CG48" s="31" t="str">
        <f ca="1">IF(OR(CF48="",KugelstossenSkalawert[[#This Row],[Skala-Wert]]=Stammdaten!$AX$19),"",INDEX(INDIRECT(CF48),MATCH(KugelstossenSkalawert[[#This Row],[Skala-Wert]],INDIRECT(CC48),0)))</f>
        <v/>
      </c>
      <c r="CH48" s="31"/>
      <c r="CI48" s="37"/>
      <c r="CJ48" s="190"/>
      <c r="CK48" s="154">
        <f>IF(CK$16,IF(CL$16=0.5,MROUND(SpeerwurfResultat[[#This Row],[Resultat]],CL$16),ROUND(SpeerwurfResultat[[#This Row],[Resultat]],CL$16)),ROUNDDOWN(SpeerwurfResultat[[#This Row],[Resultat]],CL$16))</f>
        <v>0</v>
      </c>
      <c r="CL48" s="191" t="str">
        <f>IF(OR(Geschlecht[[#This Row],[Geschlecht (Skala)]]="",CI$16=""),"",MID(Geschlecht[[#This Row],[Geschlecht (Skala)]],1,1)&amp;MID(CI$16,1,1))</f>
        <v/>
      </c>
      <c r="CM48" s="190" t="str">
        <f>IF(OR(CL48="",SpeerwurfResultat[[#This Row],[Resultat]]=""),"",REPLACE(INDEX(StdDisziplinen[TabÜberschriftResultat],CI$3),FIND("X",INDEX(StdDisziplinen[TabÜberschriftResultat],CI$3),1),2,CL48))</f>
        <v/>
      </c>
      <c r="CN48" s="45" t="str">
        <f ca="1">IF(CM48="","",IF(OR(SpeerwurfResultat[[#This Row],[Resultat]]=Stammdaten!$AX$22,SpeerwurfResultat[[#This Row],[Resultat]]=Stammdaten!$AX$19),Stammdaten!$AX$19,IF(ISNA(INDEX(INDIRECT(CM48),MATCH(SpeerwurfGerundet[[#This Row],[Rundung]],INDIRECT(CM48),CM$18))),IF(CM$18=-1,LARGE(INDIRECT(CM48),1),SMALL(INDIRECT(CM48),1)),INDEX(INDIRECT(CM48),MATCH(SpeerwurfGerundet[[#This Row],[Rundung]],INDIRECT(CM48),CM$18)))))</f>
        <v/>
      </c>
      <c r="CP48" s="18" t="str">
        <f ca="1">IF(SpeerwurfSkalawert[[#This Row],[Skala-Wert]]="","",REPLACE(INDEX(StdDisziplinen[TabÜberschriftNote],CI$3),FIND("X",INDEX(StdDisziplinen[TabÜberschriftNote],CI$3),1),2,CL48))</f>
        <v/>
      </c>
      <c r="CQ48" s="31" t="str">
        <f ca="1">IF(OR(CP48="",SpeerwurfSkalawert[[#This Row],[Skala-Wert]]=Stammdaten!$AX$19),"",INDEX(INDIRECT(CP48),MATCH(SpeerwurfSkalawert[[#This Row],[Skala-Wert]],INDIRECT(CM48),0)))</f>
        <v/>
      </c>
      <c r="CR48" s="31"/>
      <c r="CS48" s="31" t="str">
        <f t="shared" ca="1" si="50"/>
        <v/>
      </c>
      <c r="CT48" s="31" t="str">
        <f t="shared" ca="1" si="50"/>
        <v/>
      </c>
      <c r="CU48" s="95" t="str">
        <f ca="1">IF(AND(SechzigmLaufSkalawert[[#This Row],[Skala-Wert]]="",AchtzigmLaufSkalawert[[#This Row],[Skala-Wert]]=""),INDEX(StdFehler[StdFehler],3),IF(ISNUMBER(SechzigmLaufSkalawert[[#This Row],[Skala-Wert]])+ISNUMBER(AchtzigmLaufSkalawert[[#This Row],[Skala-Wert]])&gt;0,MAX(CS48:CT48),99))</f>
        <v>Keine Note</v>
      </c>
      <c r="CV48" s="202" t="str">
        <f t="shared" ca="1" si="51"/>
        <v/>
      </c>
      <c r="CW48" s="202" t="str">
        <f ca="1">IF(CV48=$A$2,CS$10&amp;Stammdaten!$AX$25,IF(CU48=INDEX(StdFehler[],3),CS$10&amp;Stammdaten!$AX$27,INDEX(INDIRECT($B$4),MATCH(CV48,INDIRECT($B$5),0))))</f>
        <v>Sprintdisziplinen nicht durchgeführt</v>
      </c>
      <c r="CX48" s="202" t="str">
        <f ca="1">IFERROR(INDEX(INDIRECT(CX$12),MATCH(CV48,StdDisziplinen[ID],0)),"")</f>
        <v/>
      </c>
      <c r="CY48" s="202" t="e">
        <f t="shared" ca="1" si="52"/>
        <v>#N/A</v>
      </c>
      <c r="CZ48" s="202" t="e">
        <f t="shared" ca="1" si="53"/>
        <v>#N/A</v>
      </c>
      <c r="DA48" s="98" t="str">
        <f t="shared" ca="1" si="223"/>
        <v/>
      </c>
      <c r="DB48" s="202" t="e">
        <f t="shared" ca="1" si="54"/>
        <v>#N/A</v>
      </c>
      <c r="DC48" s="202" t="str">
        <f t="shared" ca="1" si="55"/>
        <v/>
      </c>
      <c r="DD48" s="31" t="str">
        <f t="shared" ca="1" si="56"/>
        <v/>
      </c>
      <c r="DE48" s="31" t="str">
        <f t="shared" ca="1" si="56"/>
        <v/>
      </c>
      <c r="DF48" s="95" t="str">
        <f ca="1">IF(AND(ZwölfMinLaufHalleSkalawert[[#This Row],[Skala-Wert]]="",ZwölfMinLaufimFreienSkalawert[[#This Row],[Skala-Wert]]=""),INDEX(StdFehler[StdFehler],3),IF(ISNUMBER(ZwölfMinLaufHalleSkalawert[[#This Row],[Skala-Wert]])+ISNUMBER(ZwölfMinLaufimFreienSkalawert[[#This Row],[Skala-Wert]])&gt;0,MAX(DD48:DE48),99))</f>
        <v>Keine Note</v>
      </c>
      <c r="DG48" s="202" t="str">
        <f t="shared" ca="1" si="57"/>
        <v/>
      </c>
      <c r="DH48" s="202" t="str">
        <f ca="1">IF(DG48=$A$2,DD$10&amp;Stammdaten!$AX$25,IF(DF48=INDEX(StdFehler[],3),DD$10&amp;Stammdaten!$AX$27,INDEX(INDIRECT($B$4),MATCH(DG48,INDIRECT($B$5),0))))</f>
        <v>Ausdauerdisziplinen nicht durchgeführt</v>
      </c>
      <c r="DI48" s="202" t="str">
        <f ca="1">IFERROR(INDEX(INDIRECT(DI$12),MATCH(DG48,StdDisziplinen[ID],0)),"")</f>
        <v/>
      </c>
      <c r="DJ48" s="202" t="e">
        <f t="shared" ca="1" si="58"/>
        <v>#N/A</v>
      </c>
      <c r="DK48" s="202" t="e">
        <f t="shared" ca="1" si="59"/>
        <v>#N/A</v>
      </c>
      <c r="DL48" s="96" t="str">
        <f t="shared" ca="1" si="60"/>
        <v/>
      </c>
      <c r="DM48" s="202" t="e">
        <f t="shared" ca="1" si="61"/>
        <v>#N/A</v>
      </c>
      <c r="DN48" s="202" t="str">
        <f t="shared" ca="1" si="62"/>
        <v/>
      </c>
      <c r="DO48" s="31" t="str">
        <f t="shared" ca="1" si="63"/>
        <v/>
      </c>
      <c r="DP48" s="31" t="str">
        <f t="shared" ca="1" si="63"/>
        <v/>
      </c>
      <c r="DQ48" s="95" t="str">
        <f ca="1">IF(AND(HochsprungSkalawert[[#This Row],[Skala-Wert]]="",WeitsprungSkalawert[[#This Row],[Skala-Wert]]=""),INDEX(StdFehler[StdFehler],3),IF(ISNUMBER(HochsprungSkalawert[[#This Row],[Skala-Wert]])+ISNUMBER(WeitsprungSkalawert[[#This Row],[Skala-Wert]])&gt;0,MAX(DO48:DP48),99))</f>
        <v>Keine Note</v>
      </c>
      <c r="DR48" s="202" t="str">
        <f t="shared" ca="1" si="64"/>
        <v/>
      </c>
      <c r="DS48" s="202" t="str">
        <f ca="1">IF(DR48=$A$2,DO$10&amp;Stammdaten!$AX$25,IF(DQ48=INDEX(StdFehler[],3),DO$10&amp;Stammdaten!$AX$27,INDEX(INDIRECT($B$4),MATCH(DR48,INDIRECT($B$5),0))))</f>
        <v>Sprungdisziplinen nicht durchgeführt</v>
      </c>
      <c r="DT48" s="202" t="str">
        <f ca="1">IFERROR(INDEX(INDIRECT(DT$12),MATCH(DR48,StdDisziplinen[ID],0)),"")</f>
        <v/>
      </c>
      <c r="DU48" s="202" t="e">
        <f t="shared" ca="1" si="65"/>
        <v>#N/A</v>
      </c>
      <c r="DV48" s="202" t="e">
        <f t="shared" ca="1" si="66"/>
        <v>#N/A</v>
      </c>
      <c r="DW48" s="202" t="str">
        <f t="shared" ca="1" si="67"/>
        <v/>
      </c>
      <c r="DX48" s="202" t="e">
        <f t="shared" ca="1" si="68"/>
        <v>#N/A</v>
      </c>
      <c r="DY48" s="202" t="str">
        <f t="shared" ca="1" si="69"/>
        <v/>
      </c>
      <c r="DZ48" s="31" t="str">
        <f ca="1">IF(BallwurfSkalawert[[#This Row],[Skala-Wert]]=$A$3,$A$2,IF(ISNUMBER(BallwurfSkalawert[[#This Row],[Skala-Wert]]),BallwurfNote[[#This Row],[Note]],"!"))</f>
        <v>!</v>
      </c>
      <c r="EA48" s="31" t="str">
        <f ca="1">IF(KugelstossenSkalawert[[#This Row],[Skala-Wert]]=$A$3,$A$2,IF(ISNUMBER(KugelstossenSkalawert[[#This Row],[Skala-Wert]]),KugelstossenNote[[#This Row],[Note]],"!"))</f>
        <v>!</v>
      </c>
      <c r="EB48" s="31" t="str">
        <f ca="1">IF(SpeerwurfSkalawert[[#This Row],[Skala-Wert]]=$A$3,$A$2,IF(ISNUMBER(SpeerwurfSkalawert[[#This Row],[Skala-Wert]]),SpeerwurfNote[[#This Row],[Note]],"!"))</f>
        <v>!</v>
      </c>
      <c r="EC48" s="95" t="str">
        <f ca="1">IF(ED48&gt;0,MAX(DZ48:EB48),IF(EE48&gt;0,99,INDEX(StdFehler[StdFehler],3)))</f>
        <v>Keine Note</v>
      </c>
      <c r="ED48" s="202">
        <f t="shared" ca="1" si="70"/>
        <v>0</v>
      </c>
      <c r="EE48" s="202">
        <f t="shared" ca="1" si="71"/>
        <v>0</v>
      </c>
      <c r="EF48" s="202" t="str">
        <f t="shared" ca="1" si="72"/>
        <v/>
      </c>
      <c r="EG48" s="202" t="str">
        <f ca="1">IF(EF48=$A$2,DZ$10&amp;Stammdaten!$AX$25,IF(EC48=INDEX(StdFehler[],3),DZ$10&amp;Stammdaten!$AX$27,INDEX(INDIRECT($B$4),MATCH(EF48,INDIRECT($B$5),0))))</f>
        <v>Wurfdisziplinen nicht durchgeführt</v>
      </c>
      <c r="EH48" s="202" t="str">
        <f ca="1">IFERROR(INDEX(INDIRECT(EH$12),MATCH(EF48,StdDisziplinen[ID],0)),"")</f>
        <v/>
      </c>
      <c r="EI48" s="202" t="e">
        <f t="shared" ca="1" si="73"/>
        <v>#N/A</v>
      </c>
      <c r="EJ48" s="202" t="e">
        <f t="shared" ca="1" si="74"/>
        <v>#N/A</v>
      </c>
      <c r="EK48" s="98" t="str">
        <f t="shared" ca="1" si="75"/>
        <v/>
      </c>
      <c r="EL48" s="202" t="e">
        <f t="shared" ca="1" si="76"/>
        <v>#N/A</v>
      </c>
      <c r="EM48" s="202" t="str">
        <f t="shared" ca="1" si="77"/>
        <v/>
      </c>
      <c r="EN48" s="200">
        <f t="shared" ca="1" si="1"/>
        <v>0</v>
      </c>
      <c r="EO48" s="202">
        <f t="shared" ca="1" si="78"/>
        <v>0</v>
      </c>
      <c r="EP48" s="96">
        <f t="shared" ca="1" si="2"/>
        <v>0</v>
      </c>
      <c r="EQ48" s="96">
        <f t="shared" ca="1" si="3"/>
        <v>0</v>
      </c>
      <c r="ER48" s="96">
        <f t="shared" ca="1" si="4"/>
        <v>0</v>
      </c>
      <c r="ES48" s="96">
        <f t="shared" ca="1" si="5"/>
        <v>0</v>
      </c>
      <c r="ET48" s="202">
        <f t="shared" ca="1" si="79"/>
        <v>0</v>
      </c>
      <c r="EU48" s="202" t="str">
        <f ca="1">IF($EO48=$FA$4,Stammdaten!$AX$19,IF(COUNTIF($EP48:$ES48,0)&lt;&gt;0,INDEX(StdFehler[StdFehler],4),ROUND(SUM($ET48/$EN48)/$FC$4,0)*$FC$4))</f>
        <v>Zu wenige Noten</v>
      </c>
      <c r="EV48" s="202" t="str">
        <f t="shared" ca="1" si="6"/>
        <v>Zu wenige Noten</v>
      </c>
      <c r="EW48" s="202" t="str">
        <f t="shared" ca="1" si="80"/>
        <v>Zu wenige Noten</v>
      </c>
      <c r="EX48" s="202" t="str">
        <f t="shared" ca="1" si="80"/>
        <v>Zu wenige Noten</v>
      </c>
      <c r="EY48" s="202" t="str">
        <f t="shared" ca="1" si="80"/>
        <v>Zu wenige Noten</v>
      </c>
      <c r="EZ48" s="202" t="str">
        <f t="shared" ca="1" si="81"/>
        <v>Zu wenige Noten</v>
      </c>
      <c r="FA48" s="202" t="str">
        <f t="shared" ca="1" si="82"/>
        <v>Zu wenige Noten</v>
      </c>
      <c r="FB48" s="31"/>
      <c r="FC48" s="56" t="str">
        <f t="shared" ca="1" si="83"/>
        <v>Zu wenige Noten</v>
      </c>
      <c r="FD48" s="31"/>
      <c r="FE48" s="597"/>
      <c r="FF48" s="190"/>
      <c r="FJ48" s="31"/>
      <c r="FK48" s="597"/>
      <c r="FL48" s="190"/>
      <c r="FP48" s="31"/>
      <c r="FQ48" s="597"/>
      <c r="FR48" s="190"/>
      <c r="FV48" s="31"/>
      <c r="FW48" s="597"/>
      <c r="FX48" s="190"/>
      <c r="GB48" s="31"/>
      <c r="GC48" s="597"/>
      <c r="GD48" s="190"/>
      <c r="GF48" s="154"/>
      <c r="GH48" s="31"/>
      <c r="GI48" s="597"/>
      <c r="GJ48" s="190"/>
      <c r="GN48" s="45"/>
      <c r="GO48" s="192">
        <f>IF(ISNUMBER(ReckResultat[[#This Row],[Resultat]]),IF($JB$16=1,ROUND(ReckResultat[[#This Row],[Resultat]],$JC$16),ReckResultat[[#This Row],[Resultat]]),IF(OR(ReckResultat[[#This Row],[Resultat]]=$A$2,ReckResultat[[#This Row],[Resultat]]=$A$3),"D",0))</f>
        <v>0</v>
      </c>
      <c r="GP48" s="192">
        <f>IF(ISNUMBER(BodenResultat[[#This Row],[Resultat]]),IF($JB$16=1,ROUND(BodenResultat[[#This Row],[Resultat]],$JC$16),BodenResultat[[#This Row],[Resultat]]),IF(OR(BodenResultat[[#This Row],[Resultat]]=$A$2,BodenResultat[[#This Row],[Resultat]]=$A$3),"D",0))</f>
        <v>0</v>
      </c>
      <c r="GQ48" s="192">
        <f>IF(ISNUMBER(StufenbarrenResultat[[#This Row],[Resultat]]),IF($JB$16=1,ROUND(StufenbarrenResultat[[#This Row],[Resultat]],$JC$16),StufenbarrenResultat[[#This Row],[Resultat]]),IF(OR(StufenbarrenResultat[[#This Row],[Resultat]]=$A$2,StufenbarrenResultat[[#This Row],[Resultat]]=$A$3),"D",0))</f>
        <v>0</v>
      </c>
      <c r="GR48" s="192">
        <f>IF(ISNUMBER(ParallelbarrenResultat[[#This Row],[Resultat]]),IF($JB$16=1,ROUND(ParallelbarrenResultat[[#This Row],[Resultat]],$JC$16),ParallelbarrenResultat[[#This Row],[Resultat]]),IF(OR(ParallelbarrenResultat[[#This Row],[Resultat]]=$A$2,ParallelbarrenResultat[[#This Row],[Resultat]]=$A$3),"D",0))</f>
        <v>0</v>
      </c>
      <c r="GS48" s="192">
        <f>IF(ISNUMBER(SchaukelringeResultat[[#This Row],[Resultat]]),IF($JB$16=1,ROUND(SchaukelringeResultat[[#This Row],[Resultat]],$JC$16),SchaukelringeResultat[[#This Row],[Resultat]]),IF(OR(SchaukelringeResultat[[#This Row],[Resultat]]=$A$2,SchaukelringeResultat[[#This Row],[Resultat]]=$A$3),"D",0))</f>
        <v>0</v>
      </c>
      <c r="GT48" s="192">
        <f>IF(ISNUMBER(SprungResultat[[#This Row],[Resultat]]),IF($JB$16=1,ROUND(SprungResultat[[#This Row],[Resultat]],$JC$16),SprungResultat[[#This Row],[Resultat]]),IF(OR(SprungResultat[[#This Row],[Resultat]]=$A$2,SprungResultat[[#This Row],[Resultat]]=$A$3),"D",0))</f>
        <v>0</v>
      </c>
      <c r="GU48" s="202">
        <f t="shared" si="7"/>
        <v>0</v>
      </c>
      <c r="GV48" s="202">
        <f t="shared" si="8"/>
        <v>0</v>
      </c>
      <c r="GW48" s="202">
        <f t="shared" si="84"/>
        <v>0</v>
      </c>
      <c r="GX48" s="200" t="str">
        <f t="shared" si="85"/>
        <v>!</v>
      </c>
      <c r="GY48" s="200" t="str">
        <f t="shared" si="9"/>
        <v>!</v>
      </c>
      <c r="GZ48" s="200" t="str">
        <f t="shared" si="10"/>
        <v>!</v>
      </c>
      <c r="HA48" s="244" t="str">
        <f t="shared" si="86"/>
        <v>nd</v>
      </c>
      <c r="HB48" s="244" t="str">
        <f t="shared" si="87"/>
        <v>nd</v>
      </c>
      <c r="HC48" s="244" t="str">
        <f t="shared" si="88"/>
        <v>nd</v>
      </c>
      <c r="HD48" s="244" t="str">
        <f t="shared" si="89"/>
        <v>nd</v>
      </c>
      <c r="HE48" s="244" t="str">
        <f t="shared" si="90"/>
        <v>nd</v>
      </c>
      <c r="HF48" s="244" t="str">
        <f t="shared" si="91"/>
        <v>nd</v>
      </c>
      <c r="HG48" s="202" t="b">
        <f t="shared" si="92"/>
        <v>0</v>
      </c>
      <c r="HH48" s="202">
        <f t="shared" si="93"/>
        <v>1</v>
      </c>
      <c r="HI48" s="202">
        <f t="shared" si="94"/>
        <v>0</v>
      </c>
      <c r="HJ48" s="200" t="str">
        <f t="shared" si="95"/>
        <v/>
      </c>
      <c r="HK48" s="200" t="str">
        <f t="shared" si="96"/>
        <v/>
      </c>
      <c r="HL48" s="200">
        <f t="shared" si="97"/>
        <v>0</v>
      </c>
      <c r="HM48" s="202" t="str">
        <f t="shared" si="98"/>
        <v/>
      </c>
      <c r="HN48" s="200" t="str">
        <f t="shared" si="99"/>
        <v/>
      </c>
      <c r="HO48" s="200" t="str">
        <f t="shared" si="100"/>
        <v/>
      </c>
      <c r="HP48" s="200" t="str">
        <f t="shared" si="101"/>
        <v/>
      </c>
      <c r="HQ48" s="242" t="str">
        <f t="shared" si="102"/>
        <v/>
      </c>
      <c r="HR48" s="242" t="str">
        <f t="shared" si="103"/>
        <v/>
      </c>
      <c r="HS48" s="242" t="str">
        <f t="shared" si="104"/>
        <v/>
      </c>
      <c r="HT48" s="242" t="str">
        <f t="shared" ca="1" si="105"/>
        <v>Erstes Gerät</v>
      </c>
      <c r="HU48" s="242" t="str">
        <f ca="1">IF(HT48=$HS$12,Stammdaten!$AY$27,IF(HW48=$A$2,TRIM(Stammdaten!$AX$25),""))</f>
        <v>nicht durchgeführt</v>
      </c>
      <c r="HV48" s="242" t="str">
        <f t="shared" ca="1" si="106"/>
        <v/>
      </c>
      <c r="HW48" s="277" t="str">
        <f t="shared" si="11"/>
        <v/>
      </c>
      <c r="HX48" s="202" t="str">
        <f t="shared" si="107"/>
        <v/>
      </c>
      <c r="HY48" s="202" t="str">
        <f t="shared" ca="1" si="108"/>
        <v/>
      </c>
      <c r="HZ48" s="202" t="str">
        <f t="shared" ca="1" si="109"/>
        <v>StdDisziplinen[MaxTextSt]</v>
      </c>
      <c r="IA48" s="202" t="str">
        <f t="shared" ca="1" si="12"/>
        <v/>
      </c>
      <c r="IB48" s="202" t="b">
        <f t="shared" si="110"/>
        <v>0</v>
      </c>
      <c r="IC48" s="202" t="str">
        <f t="shared" si="111"/>
        <v/>
      </c>
      <c r="ID48" s="202" t="str">
        <f t="shared" si="112"/>
        <v/>
      </c>
      <c r="IE48" s="202" t="str">
        <f t="shared" si="113"/>
        <v/>
      </c>
      <c r="IF48" s="202" t="str">
        <f t="shared" si="114"/>
        <v/>
      </c>
      <c r="IG48" s="242" t="str">
        <f t="shared" si="115"/>
        <v/>
      </c>
      <c r="IH48" s="242" t="str">
        <f t="shared" si="116"/>
        <v/>
      </c>
      <c r="II48" s="242" t="str">
        <f t="shared" ca="1" si="13"/>
        <v>Zweites Gerät</v>
      </c>
      <c r="IJ48" s="242" t="str">
        <f ca="1">IF(II48=$IH$12,Stammdaten!$AY$27,IF(IL48=$A$2,TRIM(Stammdaten!$AX$25),""))</f>
        <v>nicht durchgeführt</v>
      </c>
      <c r="IK48" s="242" t="str">
        <f t="shared" ca="1" si="117"/>
        <v/>
      </c>
      <c r="IL48" s="200" t="str">
        <f t="shared" si="14"/>
        <v/>
      </c>
      <c r="IM48" s="202" t="str">
        <f t="shared" si="118"/>
        <v/>
      </c>
      <c r="IN48" s="202" t="str">
        <f t="shared" ca="1" si="119"/>
        <v/>
      </c>
      <c r="IO48" s="202" t="str">
        <f t="shared" ca="1" si="120"/>
        <v>StdDisziplinen[MaxTextSt]</v>
      </c>
      <c r="IP48" s="202" t="str">
        <f t="shared" ca="1" si="121"/>
        <v/>
      </c>
      <c r="IQ48" s="202" t="b">
        <f t="shared" si="122"/>
        <v>0</v>
      </c>
      <c r="IR48" s="242" t="str">
        <f t="shared" ca="1" si="15"/>
        <v>Drittes Gerät</v>
      </c>
      <c r="IS48" s="242" t="str">
        <f ca="1">IF(IR48=$IR$12,MID(Stammdaten!$AX$27,2,LEN(Stammdaten!$AX$27)),IF(IU48=$A$2,TRIM(Stammdaten!$AX$25),""))</f>
        <v>nicht durchgeführt</v>
      </c>
      <c r="IT48" s="242" t="str">
        <f t="shared" ca="1" si="16"/>
        <v/>
      </c>
      <c r="IU48" s="200" t="str">
        <f t="shared" si="17"/>
        <v/>
      </c>
      <c r="IV48" s="202" t="str">
        <f t="shared" si="123"/>
        <v/>
      </c>
      <c r="IW48" s="202" t="str">
        <f t="shared" ca="1" si="124"/>
        <v/>
      </c>
      <c r="IX48" s="202" t="str">
        <f t="shared" ca="1" si="125"/>
        <v>StdDisziplinen[MaxTextSt]</v>
      </c>
      <c r="IY48" s="202" t="str">
        <f t="shared" ca="1" si="18"/>
        <v/>
      </c>
      <c r="IZ48" s="200" t="str">
        <f>IF(NOT(GW48),INDEX(StdFehler[StdFehler],4),IF(COUNTIF(GX48:GZ48,$A$2)&gt;=$IZ$4,$A$3,SUM(GX48:GZ48)))</f>
        <v>Zu wenige Noten</v>
      </c>
      <c r="JA48" s="31"/>
      <c r="JB48" s="587" t="e">
        <f t="shared" si="19"/>
        <v>#VALUE!</v>
      </c>
      <c r="JC48" s="191" t="str">
        <f>IF(OR(Geschlecht[[#This Row],[Geschlecht (Skala)]]="",IZ48=""),"",MID(Geschlecht[[#This Row],[Geschlecht (Skala)]],1,1)&amp;MID($FE$16,1,1))</f>
        <v/>
      </c>
      <c r="JD48" s="190" t="str">
        <f>IF(OR(JC48="",IZ48=""),"",REPLACE(INDEX(StdDisziplinen[TabÜberschriftResultat],$FE$3),FIND("X",INDEX(StdDisziplinen[TabÜberschriftResultat],$FE$3),1),2,JC48))</f>
        <v/>
      </c>
      <c r="JE48" s="192" t="str">
        <f ca="1">IF(OR(JD48="",IZ48=Stammdaten!$AZ$5),"",IF(OR(IZ48=Stammdaten!$AX$22,IZ48=Stammdaten!$AX$19),Stammdaten!$AX$19,IF(ISNA(INDEX(INDIRECT(JD48),MATCH(GeräteturnenGerundet[[#This Row],[Rundung]],INDIRECT(JD48),$JD$16))),IF($JD$16=-1,LARGE(INDIRECT(JD48),1),SMALL(INDIRECT(JD48),1)),INDEX(INDIRECT(JD48),MATCH(GeräteturnenGerundet[[#This Row],[Rundung]],INDIRECT(JD48),$JD$16)))))</f>
        <v/>
      </c>
      <c r="JG48" s="18" t="str">
        <f ca="1">IF(GeräteturnenSkalawert[[#This Row],[Skala-Wert]]="","",REPLACE(INDEX(StdDisziplinen[TabÜberschriftNote],$FE$3),FIND("X",INDEX(StdDisziplinen[TabÜberschriftNote],$FE$3),1),2,JC48))</f>
        <v/>
      </c>
      <c r="JH48" s="45" t="str">
        <f ca="1">IF(OR(JG48="",GeräteturnenSkalawert[[#This Row],[Skala-Wert]]=Stammdaten!$AX$19),"",INDEX(INDIRECT(JG48),MATCH(GeräteturnenSkalawert[[#This Row],[Skala-Wert]],INDIRECT(JD48),0)))</f>
        <v/>
      </c>
      <c r="JI48" s="31"/>
      <c r="JJ48" s="597"/>
      <c r="JK48" s="190"/>
      <c r="JL48" s="587">
        <f>IF(JL$16,IF(JM$16=0.5,MROUND(ParkourResultat[[#This Row],[Resultat]],JM$16),ROUND(ParkourResultat[[#This Row],[Resultat]],JM$16)),ROUNDDOWN(ParkourResultat[[#This Row],[Resultat]],JM$16))</f>
        <v>0</v>
      </c>
      <c r="JM48" s="191" t="str">
        <f>IF(OR(Geschlecht[[#This Row],[Geschlecht (Skala)]]="",JJ$16=""),"",MID(Geschlecht[[#This Row],[Geschlecht (Skala)]],1,1)&amp;MID(JJ$16,1,1))</f>
        <v/>
      </c>
      <c r="JN48" s="190" t="str">
        <f>IF(OR(JM48="",ParkourResultat[[#This Row],[Resultat]]=""),"",REPLACE(INDEX(StdDisziplinen[TabÜberschriftResultat],JJ$3),FIND("X",INDEX(StdDisziplinen[TabÜberschriftResultat],JJ$3),1),2,JM48))</f>
        <v/>
      </c>
      <c r="JO48" s="192" t="str">
        <f ca="1">IF(JN48="","",IF(OR(ParkourResultat[[#This Row],[Resultat]]=Stammdaten!$AX$22,ParkourResultat[[#This Row],[Resultat]]=Stammdaten!$AX$19),Stammdaten!$AX$19,IF(ISNA(INDEX(INDIRECT(JN48),MATCH(ParkourGerundet[[#This Row],[Rundung]],INDIRECT(JN48),JN$18))),IF(JN$18=-1,LARGE(INDIRECT(JN48),1),SMALL(INDIRECT(JN48),1)),INDEX(INDIRECT(JN48),MATCH(ParkourGerundet[[#This Row],[Rundung]],INDIRECT(JN48),JN$18)))))</f>
        <v/>
      </c>
      <c r="JQ48" s="18" t="str">
        <f ca="1">IF(ParkourSkalawert[[#This Row],[Skala-Wert]]="","",REPLACE(INDEX(StdDisziplinen[TabÜberschriftNote],JJ$3),FIND("X",INDEX(StdDisziplinen[TabÜberschriftNote],JJ$3),1),2,JM48))</f>
        <v/>
      </c>
      <c r="JR48" s="31" t="str">
        <f ca="1">IF(OR(JQ48="",ParkourSkalawert[[#This Row],[Skala-Wert]]=Stammdaten!$AX$19),"",INDEX(INDIRECT(JQ48),MATCH(ParkourSkalawert[[#This Row],[Skala-Wert]],INDIRECT(JN48),0)))</f>
        <v/>
      </c>
      <c r="JS48" s="96"/>
      <c r="JT48" s="47" t="str">
        <f ca="1">IF(OR(ISNUMBER(ParkourSkalawert[[#This Row],[Skala-Wert]]),ParkourSkalawert[[#This Row],[Skala-Wert]]=$A$3),INDEX(INDIRECT($JU$1),MATCH($JJ$3,INDIRECT($B$5),0)),"")</f>
        <v/>
      </c>
      <c r="JU48" s="200" t="str">
        <f t="shared" ca="1" si="126"/>
        <v>StdDisziplinen[MaxTextSt]</v>
      </c>
      <c r="JV48" s="200" t="str">
        <f t="shared" ca="1" si="127"/>
        <v/>
      </c>
      <c r="JW48" s="98">
        <f ca="1">IF(GeräteturnenSkalawert[[#This Row],[Skala-Wert]]=$A$3,$A$2,IF(GeräteturnenNote[[#This Row],[Note]]="",0,GeräteturnenNote[[#This Row],[Note]]))</f>
        <v>0</v>
      </c>
      <c r="JX48" s="96">
        <f ca="1">IF(ParkourSkalawert[[#This Row],[Skala-Wert]]=$A$3,$A$2,IF(ParkourNote[[#This Row],[Note]]="",0,ParkourNote[[#This Row],[Note]]))</f>
        <v>0</v>
      </c>
      <c r="JY48" s="200">
        <f t="shared" ca="1" si="128"/>
        <v>0</v>
      </c>
      <c r="JZ48" s="200">
        <f t="shared" ca="1" si="129"/>
        <v>0</v>
      </c>
      <c r="KA48" s="202">
        <f t="shared" ca="1" si="130"/>
        <v>0</v>
      </c>
      <c r="KB48" s="98" t="str">
        <f t="shared" ca="1" si="20"/>
        <v>!</v>
      </c>
      <c r="KC48" s="98" t="str">
        <f t="shared" ca="1" si="21"/>
        <v>!</v>
      </c>
      <c r="KD48" s="202" t="str">
        <f ca="1">IF(NOT(KA48),INDEX(StdFehler[StdFehler],4),IF(JZ48=$KA$12,$A$3,IF(JW48=$A$2,JX48,IF(JX48=$A$2,JW48,CONCATENATE(JW48,", ",JX48)))))</f>
        <v>Zu wenige Noten</v>
      </c>
      <c r="KE48" s="202" t="str">
        <f t="shared" ca="1" si="131"/>
        <v>Zu wenige Noten</v>
      </c>
      <c r="KF48" s="31"/>
      <c r="KG48" s="56" t="str">
        <f ca="1">IF(NOT(KA48),INDEX(StdFehler[StdFehler],4),IF(JZ48=$KA$12,$A$3,ROUND(AVERAGE(KB48:KC48)/$KG$4,0)*$KG$4))</f>
        <v>Zu wenige Noten</v>
      </c>
      <c r="KH48" s="31"/>
      <c r="KI48" s="599"/>
      <c r="KJ48" s="190"/>
      <c r="KK48" s="586">
        <f>IF(KK$16,IF(KL$16=0.5,MROUND(TanzenResultat[[#This Row],[Resultat]],KL$16),ROUND(TanzenResultat[[#This Row],[Resultat]],KL$16)),ROUNDDOWN(TanzenResultat[[#This Row],[Resultat]],KL$16))</f>
        <v>0</v>
      </c>
      <c r="KL48" s="191" t="str">
        <f>IF(OR(Geschlecht[[#This Row],[Geschlecht (Skala)]]="",KI$16=""),"",MID(Geschlecht[[#This Row],[Geschlecht (Skala)]],1,1)&amp;MID(KI$16,1,1))</f>
        <v/>
      </c>
      <c r="KM48" s="190" t="str">
        <f>IF(OR(KL48="",TanzenResultat[[#This Row],[Resultat]]=""),"",REPLACE(INDEX(StdDisziplinen[TabÜberschriftResultat],KI$3),FIND("X",INDEX(StdDisziplinen[TabÜberschriftResultat],KI$3),1),2,KL48))</f>
        <v/>
      </c>
      <c r="KN48" s="31" t="str">
        <f ca="1">IF(KM48="","",IF(OR(TanzenResultat[[#This Row],[Resultat]]=Stammdaten!$AX$22,TanzenResultat[[#This Row],[Resultat]]=Stammdaten!$AX$19),Stammdaten!$AX$19,IF(ISNA(INDEX(INDIRECT(KM48),MATCH(TanzenGerundet[[#This Row],[Rundung]],INDIRECT(KM48),KM$18))),IF(KM$18=-1,LARGE(INDIRECT(KM48),1),SMALL(INDIRECT(KM48),1)),INDEX(INDIRECT(KM48),MATCH(TanzenGerundet[[#This Row],[Rundung]],INDIRECT(KM48),KM$18)))))</f>
        <v/>
      </c>
      <c r="KP48" s="18" t="str">
        <f ca="1">IF(TanzenSkalawert[[#This Row],[Skala-Wert]]="","",REPLACE(INDEX(StdDisziplinen[TabÜberschriftNote],KI$3),FIND("X",INDEX(StdDisziplinen[TabÜberschriftNote],KI$3),1),2,KL48))</f>
        <v/>
      </c>
      <c r="KQ48" s="45" t="str">
        <f ca="1">IF(OR(KP48="",TanzenSkalawert[[#This Row],[Skala-Wert]]=Stammdaten!$AX$19),"",INDEX(INDIRECT(KP48),MATCH(TanzenSkalawert[[#This Row],[Skala-Wert]],INDIRECT(KM48),0)))</f>
        <v/>
      </c>
      <c r="KR48" s="31"/>
      <c r="KS48" s="597"/>
      <c r="KT48" s="190"/>
      <c r="KU48" s="587">
        <f>IF(KU$16,IF(KV$16=0.5,MROUND(RopeSkippingResultat[[#This Row],[Resultat]],KV$16),ROUND(RopeSkippingResultat[[#This Row],[Resultat]],KV$16)),ROUNDDOWN(RopeSkippingResultat[[#This Row],[Resultat]],KV$16))</f>
        <v>0</v>
      </c>
      <c r="KV48" s="191" t="str">
        <f>IF(OR(Geschlecht[[#This Row],[Geschlecht (Skala)]]="",KS$16=""),"",MID(Geschlecht[[#This Row],[Geschlecht (Skala)]],1,1)&amp;MID(KS$16,1,1))</f>
        <v/>
      </c>
      <c r="KW48" s="190" t="str">
        <f>IF(OR(KV48="",RopeSkippingResultat[[#This Row],[Resultat]]=""),"",REPLACE(INDEX(StdDisziplinen[TabÜberschriftResultat],KS$3),FIND("X",INDEX(StdDisziplinen[TabÜberschriftResultat],KS$3),1),2,KV48))</f>
        <v/>
      </c>
      <c r="KX48" s="192" t="str">
        <f ca="1">IF(KW48="","",IF(OR(RopeSkippingResultat[[#This Row],[Resultat]]=Stammdaten!$AX$22,RopeSkippingResultat[[#This Row],[Resultat]]=Stammdaten!$AX$19),Stammdaten!$AX$19,IF(ISNA(INDEX(INDIRECT(KW48),MATCH(RopeSkippingGerundet[[#This Row],[Rundung]],INDIRECT(KW48),KW$18))),IF(KW$18=-1,LARGE(INDIRECT(KW48),1),SMALL(INDIRECT(KW48),1)),INDEX(INDIRECT(KW48),MATCH(RopeSkippingGerundet[[#This Row],[Rundung]],INDIRECT(KW48),KW$18)))))</f>
        <v/>
      </c>
      <c r="KZ48" s="18" t="str">
        <f ca="1">IF(RopeSkippingSkalawert[[#This Row],[Skala-Wert]]="","",REPLACE(INDEX(StdDisziplinen[TabÜberschriftNote],KS$3),FIND("X",INDEX(StdDisziplinen[TabÜberschriftNote],KS$3),1),2,KV48))</f>
        <v/>
      </c>
      <c r="LA48" s="45" t="str">
        <f ca="1">IF(OR(KZ48="",RopeSkippingSkalawert[[#This Row],[Skala-Wert]]=Stammdaten!$AX$19),"",INDEX(INDIRECT(KZ48),MATCH(RopeSkippingSkalawert[[#This Row],[Skala-Wert]],INDIRECT(KW48),0)))</f>
        <v/>
      </c>
      <c r="LB48" s="31"/>
      <c r="LC48" s="599"/>
      <c r="LD48" s="190"/>
      <c r="LE48" s="586">
        <f>IF(LE$16,IF(LF$16=0.5,MROUND(AerobicResultat[[#This Row],[Resultat]],LF$16),ROUND(AerobicResultat[[#This Row],[Resultat]],LF$16)),ROUNDDOWN(AerobicResultat[[#This Row],[Resultat]],LF$16))</f>
        <v>0</v>
      </c>
      <c r="LF48" s="191" t="str">
        <f>IF(OR(Geschlecht[[#This Row],[Geschlecht (Skala)]]="",LC$16=""),"",MID(Geschlecht[[#This Row],[Geschlecht (Skala)]],1,1)&amp;MID(LC$16,1,1))</f>
        <v/>
      </c>
      <c r="LG48" s="190" t="str">
        <f>IF(OR(LF48="",AerobicResultat[[#This Row],[Resultat]]=""),"",REPLACE(INDEX(StdDisziplinen[TabÜberschriftResultat],LC$3),FIND("X",INDEX(StdDisziplinen[TabÜberschriftResultat],LC$3),1),2,LF48))</f>
        <v/>
      </c>
      <c r="LH48" s="31" t="str">
        <f ca="1">IF(LG48="","",IF(OR(AerobicResultat[[#This Row],[Resultat]]=Stammdaten!$AX$22,AerobicResultat[[#This Row],[Resultat]]=Stammdaten!$AX$19),Stammdaten!$AX$19,IF(ISNA(INDEX(INDIRECT(LG48),MATCH(AerobicGerundet[[#This Row],[Rundung]],INDIRECT(LG48),LG$18))),IF(LG$18=-1,LARGE(INDIRECT(LG48),1),SMALL(INDIRECT(LG48),1)),INDEX(INDIRECT(LG48),MATCH(AerobicGerundet[[#This Row],[Rundung]],INDIRECT(LG48),LG$18)))))</f>
        <v/>
      </c>
      <c r="LJ48" s="18" t="str">
        <f ca="1">IF(AerobicSkalawert[[#This Row],[Skala-Wert]]="","",REPLACE(INDEX(StdDisziplinen[TabÜberschriftNote],LC$3),FIND("X",INDEX(StdDisziplinen[TabÜberschriftNote],LC$3),1),2,LF48))</f>
        <v/>
      </c>
      <c r="LK48" s="45" t="str">
        <f ca="1">IF(OR(LJ48="",AerobicSkalawert[[#This Row],[Skala-Wert]]=Stammdaten!$AX$19),"",INDEX(INDIRECT(LJ48),MATCH(AerobicSkalawert[[#This Row],[Skala-Wert]],INDIRECT(LG48),0)))</f>
        <v/>
      </c>
      <c r="LL48" s="31"/>
      <c r="LM48" s="45" t="str">
        <f ca="1">IF(TanzenSkalawert[[#This Row],[Skala-Wert]]=$A$3,$A$2,IF(ISNUMBER(TanzenSkalawert[[#This Row],[Skala-Wert]]),TanzenNote[[#This Row],[Note]],"!"))</f>
        <v>!</v>
      </c>
      <c r="LN48" s="45" t="str">
        <f ca="1">IF(RopeSkippingSkalawert[[#This Row],[Skala-Wert]]=$A$3,$A$2,IF(ISNUMBER(RopeSkippingSkalawert[[#This Row],[Skala-Wert]]),RopeSkippingNote[[#This Row],[Note]],"!"))</f>
        <v>!</v>
      </c>
      <c r="LO48" s="45" t="str">
        <f ca="1">IF(AerobicSkalawert[[#This Row],[Skala-Wert]]=$A$3,$A$2,IF(ISNUMBER(AerobicSkalawert[[#This Row],[Skala-Wert]]),AerobicNote[[#This Row],[Note]],"!"))</f>
        <v>!</v>
      </c>
      <c r="LP48" s="36">
        <f t="shared" ca="1" si="132"/>
        <v>0</v>
      </c>
      <c r="LQ48" s="36">
        <f t="shared" ca="1" si="133"/>
        <v>0</v>
      </c>
      <c r="LR48" s="244" t="str">
        <f t="shared" ca="1" si="22"/>
        <v>nd</v>
      </c>
      <c r="LS48" s="244" t="str">
        <f t="shared" ca="1" si="23"/>
        <v>nd</v>
      </c>
      <c r="LT48" s="244" t="str">
        <f t="shared" ca="1" si="24"/>
        <v>nd</v>
      </c>
      <c r="LU48" s="242" t="str">
        <f t="shared" ca="1" si="25"/>
        <v/>
      </c>
      <c r="LV48" s="242" t="str">
        <f t="shared" ca="1" si="134"/>
        <v/>
      </c>
      <c r="LW48" s="242" t="str">
        <f t="shared" ca="1" si="135"/>
        <v/>
      </c>
      <c r="LX48" s="242" t="str">
        <f ca="1">IF(LW48="",Stammdaten!$AM$4,INDEX(INDIRECT($B$4),MATCH($LW48,INDIRECT($B$5),0)))</f>
        <v>Darstellen und Tanzen</v>
      </c>
      <c r="LY48" s="242" t="str">
        <f ca="1">IF(LW48="",Stammdaten!$AY$27,IF(ISNUMBER(LU48),LX48,IF(ISNUMBER(LV48),TRIM(Stammdaten!$AX$25),"")))</f>
        <v>nicht durchgeführt</v>
      </c>
      <c r="LZ48" s="242" t="str">
        <f t="shared" ca="1" si="136"/>
        <v>Darstellen und Tanzen</v>
      </c>
      <c r="MA48" s="242" t="str">
        <f t="shared" ca="1" si="137"/>
        <v/>
      </c>
      <c r="MB48" s="242" t="str">
        <f t="shared" ca="1" si="26"/>
        <v>Darstellen und TanzenResultat[@Resultat]</v>
      </c>
      <c r="MC48" s="274" t="str">
        <f t="shared" ca="1" si="138"/>
        <v/>
      </c>
      <c r="MD48" s="242" t="str">
        <f t="shared" ca="1" si="139"/>
        <v>Darstellen und TanzenSkalawert[@[Skala-Wert]]</v>
      </c>
      <c r="ME48" s="274" t="str">
        <f t="shared" ca="1" si="140"/>
        <v/>
      </c>
      <c r="MF48" s="47" t="str">
        <f t="shared" ca="1" si="27"/>
        <v/>
      </c>
      <c r="MG48" s="200" t="str">
        <f t="shared" ca="1" si="141"/>
        <v>StdDisziplinen[MaxTextSt]</v>
      </c>
      <c r="MH48" s="200" t="str">
        <f t="shared" ca="1" si="142"/>
        <v/>
      </c>
      <c r="MI48" s="45"/>
      <c r="MJ48" s="98" t="str">
        <f ca="1">IF(LP48&gt;0,MAX(LM48:LO48),IF(LQ48&gt;0,$A$3,INDEX(StdFehler[StdFehler],4)))</f>
        <v>Zu wenige Noten</v>
      </c>
      <c r="MK48" s="45"/>
      <c r="ML48" s="37"/>
      <c r="MM48" s="190"/>
      <c r="MN48" s="586">
        <f>IF(MN$16,IF(MO$16=0.5,MROUND(BasketballResultat[[#This Row],[Resultat]],MO$16),ROUND(BasketballResultat[[#This Row],[Resultat]],MO$16)),ROUNDDOWN(BasketballResultat[[#This Row],[Resultat]],MO$16))</f>
        <v>0</v>
      </c>
      <c r="MO48" s="191" t="str">
        <f>IF(OR(Geschlecht[[#This Row],[Geschlecht (Skala)]]="",ML$16=""),"",MID(Geschlecht[[#This Row],[Geschlecht (Skala)]],1,1)&amp;MID(ML$16,1,1))</f>
        <v/>
      </c>
      <c r="MP48" s="190" t="str">
        <f>IF(OR(MO48="",BasketballResultat[[#This Row],[Resultat]]=""),"",REPLACE(INDEX(StdDisziplinen[TabÜberschriftResultat],ML$3),FIND("X",INDEX(StdDisziplinen[TabÜberschriftResultat],ML$3),1),2,MO48))</f>
        <v/>
      </c>
      <c r="MQ48" s="31" t="str">
        <f ca="1">IF(MP48="","",IF(OR(BasketballResultat[[#This Row],[Resultat]]=Stammdaten!$AX$22,BasketballResultat[[#This Row],[Resultat]]=Stammdaten!$AX$19),Stammdaten!$AX$19,IF(ISNA(INDEX(INDIRECT(MP48),MATCH(BasketballGerundet[[#This Row],[Rundung]],INDIRECT(MP48),MP$18))),IF(MP$18=-1,LARGE(INDIRECT(MP48),1),SMALL(INDIRECT(MP48),1)),INDEX(INDIRECT(MP48),MATCH(BasketballGerundet[[#This Row],[Rundung]],INDIRECT(MP48),MP$18)))))</f>
        <v/>
      </c>
      <c r="MS48" s="18" t="str">
        <f ca="1">IF(BasketballSkalawert[[#This Row],[Skala-Wert]]="","",REPLACE(INDEX(StdDisziplinen[TabÜberschriftNote],ML$3),FIND("X",INDEX(StdDisziplinen[TabÜberschriftNote],ML$3),1),2,MO48))</f>
        <v/>
      </c>
      <c r="MT48" s="31" t="str">
        <f ca="1">IF(OR(MS48="",BasketballSkalawert[[#This Row],[Skala-Wert]]=Stammdaten!$AX$19),"",INDEX(INDIRECT(MS48),MATCH(BasketballSkalawert[[#This Row],[Skala-Wert]],INDIRECT(MP48),0)))</f>
        <v/>
      </c>
      <c r="MU48" s="31"/>
      <c r="MV48" s="37"/>
      <c r="MW48" s="190"/>
      <c r="MX48" s="586">
        <f>IF(MX$16,IF(MY$16=0.5,MROUND(FussballResultat[[#This Row],[Resultat]],MY$16),ROUND(FussballResultat[[#This Row],[Resultat]],MY$16)),ROUNDDOWN(FussballResultat[[#This Row],[Resultat]],MY$16))</f>
        <v>0</v>
      </c>
      <c r="MY48" s="191" t="str">
        <f>IF(OR(Geschlecht[[#This Row],[Geschlecht (Skala)]]="",MV$16=""),"",MID(Geschlecht[[#This Row],[Geschlecht (Skala)]],1,1)&amp;MID(MV$16,1,1))</f>
        <v/>
      </c>
      <c r="MZ48" s="190" t="str">
        <f>IF(OR(MY48="",FussballResultat[[#This Row],[Resultat]]=""),"",REPLACE(INDEX(StdDisziplinen[TabÜberschriftResultat],MV$3),FIND("X",INDEX(StdDisziplinen[TabÜberschriftResultat],MV$3),1),2,MY48))</f>
        <v/>
      </c>
      <c r="NA48" s="31" t="str">
        <f ca="1">IF(MZ48="","",IF(OR(FussballResultat[[#This Row],[Resultat]]=Stammdaten!$AX$22,FussballResultat[[#This Row],[Resultat]]=Stammdaten!$AX$19),Stammdaten!$AX$19,IF(ISNA(INDEX(INDIRECT(MZ48),MATCH(FussballGerundet[[#This Row],[Rundung]],INDIRECT(MZ48),MZ$18))),IF(MZ$18=-1,LARGE(INDIRECT(MZ48),1),SMALL(INDIRECT(MZ48),1)),INDEX(INDIRECT(MZ48),MATCH(FussballGerundet[[#This Row],[Rundung]],INDIRECT(MZ48),MZ$18)))))</f>
        <v/>
      </c>
      <c r="NC48" s="18" t="str">
        <f ca="1">IF(FussballSkalawert[[#This Row],[Skala-Wert]]="","",REPLACE(INDEX(StdDisziplinen[TabÜberschriftNote],MV$3),FIND("X",INDEX(StdDisziplinen[TabÜberschriftNote],MV$3),1),2,MY48))</f>
        <v/>
      </c>
      <c r="ND48" s="31" t="str">
        <f ca="1">IF(OR(NC48="",FussballSkalawert[[#This Row],[Skala-Wert]]=Stammdaten!$AX$19),"",INDEX(INDIRECT(NC48),MATCH(FussballSkalawert[[#This Row],[Skala-Wert]],INDIRECT(MZ48),0)))</f>
        <v/>
      </c>
      <c r="NE48" s="31"/>
      <c r="NF48" s="37"/>
      <c r="NG48" s="190"/>
      <c r="NH48" s="586">
        <f>IF(NH$16,IF(NI$16=0.5,MROUND(HandballResultat[[#This Row],[Resultat]],NI$16),ROUND(HandballResultat[[#This Row],[Resultat]],NI$16)),ROUNDDOWN(HandballResultat[[#This Row],[Resultat]],NI$16))</f>
        <v>0</v>
      </c>
      <c r="NI48" s="191" t="str">
        <f>IF(OR(Geschlecht[[#This Row],[Geschlecht (Skala)]]="",NF$16=""),"",MID(Geschlecht[[#This Row],[Geschlecht (Skala)]],1,1)&amp;MID(NF$16,1,1))</f>
        <v/>
      </c>
      <c r="NJ48" s="190" t="str">
        <f>IF(OR(NI48="",HandballResultat[[#This Row],[Resultat]]=""),"",REPLACE(INDEX(StdDisziplinen[TabÜberschriftResultat],NF$3),FIND("X",INDEX(StdDisziplinen[TabÜberschriftResultat],NF$3),1),2,NI48))</f>
        <v/>
      </c>
      <c r="NK48" s="31" t="str">
        <f ca="1">IF(NJ48="","",IF(OR(HandballResultat[[#This Row],[Resultat]]=Stammdaten!$AX$22,HandballResultat[[#This Row],[Resultat]]=Stammdaten!$AX$19),Stammdaten!$AX$19,IF(ISNA(INDEX(INDIRECT(NJ48),MATCH(HandballGerundet[[#This Row],[Rundung]],INDIRECT(NJ48),NJ$18))),IF(NJ$18=-1,LARGE(INDIRECT(NJ48),1),SMALL(INDIRECT(NJ48),1)),INDEX(INDIRECT(NJ48),MATCH(HandballGerundet[[#This Row],[Rundung]],INDIRECT(NJ48),NJ$18)))))</f>
        <v/>
      </c>
      <c r="NM48" s="18" t="str">
        <f ca="1">IF(HandballSkalawert[[#This Row],[Skala-Wert]]="","",REPLACE(INDEX(StdDisziplinen[TabÜberschriftNote],NF$3),FIND("X",INDEX(StdDisziplinen[TabÜberschriftNote],NF$3),1),2,NI48))</f>
        <v/>
      </c>
      <c r="NN48" s="31" t="str">
        <f ca="1">IF(OR(NM48="",HandballSkalawert[[#This Row],[Skala-Wert]]=Stammdaten!$AX$19),"",INDEX(INDIRECT(NM48),MATCH(HandballSkalawert[[#This Row],[Skala-Wert]],INDIRECT(NJ48),0)))</f>
        <v/>
      </c>
      <c r="NO48" s="31"/>
      <c r="NP48" s="37"/>
      <c r="NQ48" s="190"/>
      <c r="NR48" s="586">
        <f>IF(NR$16,IF(NS$16=0.5,MROUND(UnihockeyResultat[[#This Row],[Resultat]],NS$16),ROUND(UnihockeyResultat[[#This Row],[Resultat]],NS$16)),ROUNDDOWN(UnihockeyResultat[[#This Row],[Resultat]],NS$16))</f>
        <v>0</v>
      </c>
      <c r="NS48" s="191" t="str">
        <f>IF(OR(Geschlecht[[#This Row],[Geschlecht (Skala)]]="",NP$16=""),"",MID(Geschlecht[[#This Row],[Geschlecht (Skala)]],1,1)&amp;MID(NP$16,1,1))</f>
        <v/>
      </c>
      <c r="NT48" s="190" t="str">
        <f>IF(OR(NS48="",UnihockeyResultat[[#This Row],[Resultat]]=""),"",REPLACE(INDEX(StdDisziplinen[TabÜberschriftResultat],NP$3),FIND("X",INDEX(StdDisziplinen[TabÜberschriftResultat],NP$3),1),2,NS48))</f>
        <v/>
      </c>
      <c r="NU48" s="31" t="str">
        <f ca="1">IF(NT48="","",IF(OR(UnihockeyResultat[[#This Row],[Resultat]]=Stammdaten!$AX$22,UnihockeyResultat[[#This Row],[Resultat]]=Stammdaten!$AX$19),Stammdaten!$AX$19,IF(ISNA(INDEX(INDIRECT(NT48),MATCH(UnihockeyGerundet[[#This Row],[Rundung]],INDIRECT(NT48),NT$18))),IF(NT$18=-1,LARGE(INDIRECT(NT48),1),SMALL(INDIRECT(NT48),1)),INDEX(INDIRECT(NT48),MATCH(UnihockeyGerundet[[#This Row],[Rundung]],INDIRECT(NT48),NT$18)))))</f>
        <v/>
      </c>
      <c r="NW48" s="18" t="str">
        <f ca="1">IF(UnihockeySkalawert[[#This Row],[Skala-Wert]]="","",REPLACE(INDEX(StdDisziplinen[TabÜberschriftNote],NP$3),FIND("X",INDEX(StdDisziplinen[TabÜberschriftNote],NP$3),1),2,NS48))</f>
        <v/>
      </c>
      <c r="NX48" s="31" t="str">
        <f ca="1">IF(OR(NW48="",UnihockeySkalawert[[#This Row],[Skala-Wert]]=Stammdaten!$AX$19),"",INDEX(INDIRECT(NW48),MATCH(UnihockeySkalawert[[#This Row],[Skala-Wert]],INDIRECT(NT48),0)))</f>
        <v/>
      </c>
      <c r="NY48" s="31"/>
      <c r="NZ48" s="597"/>
      <c r="OA48" s="190"/>
      <c r="OB48" s="587">
        <f>IF(OB$16,IF(OC$16=0.5,MROUND(VolleyballResultat[[#This Row],[Resultat]],OC$16),ROUND(VolleyballResultat[[#This Row],[Resultat]],OC$16)),ROUNDDOWN(VolleyballResultat[[#This Row],[Resultat]],OC$16))</f>
        <v>0</v>
      </c>
      <c r="OC48" s="191" t="str">
        <f>IF(OR(Geschlecht[[#This Row],[Geschlecht (Skala)]]="",NZ$16=""),"",MID(Geschlecht[[#This Row],[Geschlecht (Skala)]],1,1)&amp;MID(NZ$16,1,1))</f>
        <v/>
      </c>
      <c r="OD48" s="190" t="str">
        <f>IF(OR(OC48="",VolleyballResultat[[#This Row],[Resultat]]=""),"",REPLACE(INDEX(StdDisziplinen[TabÜberschriftResultat],NZ$3),FIND("X",INDEX(StdDisziplinen[TabÜberschriftResultat],NZ$3),1),2,OC48))</f>
        <v/>
      </c>
      <c r="OE48" s="192" t="str">
        <f ca="1">IF(OD48="","",IF(OR(VolleyballResultat[[#This Row],[Resultat]]=Stammdaten!$AX$22,VolleyballResultat[[#This Row],[Resultat]]=Stammdaten!$AX$19),Stammdaten!$AX$19,IF(ISNA(INDEX(INDIRECT(OD48),MATCH(VolleyballGerundet[[#This Row],[Rundung]],INDIRECT(OD48),OD$18))),IF(OD$18=-1,LARGE(INDIRECT(OD48),1),SMALL(INDIRECT(OD48),1)),INDEX(INDIRECT(OD48),MATCH(VolleyballGerundet[[#This Row],[Rundung]],INDIRECT(OD48),OD$18)))))</f>
        <v/>
      </c>
      <c r="OG48" s="18" t="str">
        <f ca="1">IF(VolleyballSkalawert[[#This Row],[Skala-Wert]]="","",REPLACE(INDEX(StdDisziplinen[TabÜberschriftNote],NZ$3),FIND("X",INDEX(StdDisziplinen[TabÜberschriftNote],NZ$3),1),2,OC48))</f>
        <v/>
      </c>
      <c r="OH48" s="31" t="str">
        <f ca="1">IF(OR(OG48="",VolleyballSkalawert[[#This Row],[Skala-Wert]]=Stammdaten!$AX$19),"",INDEX(INDIRECT(OG48),MATCH(VolleyballSkalawert[[#This Row],[Skala-Wert]],INDIRECT(OD48),0)))</f>
        <v/>
      </c>
      <c r="OI48" s="45"/>
      <c r="OJ48" s="31">
        <f ca="1">IF(BasketballSkalawert[[#This Row],[Skala-Wert]]=$A$3,$A$2,IF(BasketballNote[[#This Row],[Note]]="",0,BasketballNote[[#This Row],[Note]]))</f>
        <v>0</v>
      </c>
      <c r="OK48" s="31">
        <f ca="1">IF(FussballSkalawert[[#This Row],[Skala-Wert]]=$A$3,$A$2,IF(FussballNote[[#This Row],[Note]]="",0,FussballNote[[#This Row],[Note]]))</f>
        <v>0</v>
      </c>
      <c r="OL48" s="31">
        <f ca="1">IF(HandballSkalawert[[#This Row],[Skala-Wert]]=$A$3,$A$2,IF(HandballNote[[#This Row],[Note]]="",0,HandballNote[[#This Row],[Note]]))</f>
        <v>0</v>
      </c>
      <c r="OM48" s="31">
        <f ca="1">IF(UnihockeySkalawert[[#This Row],[Skala-Wert]]=$A$3,$A$2,IF(UnihockeyNote[[#This Row],[Note]]="",0,UnihockeyNote[[#This Row],[Note]]))</f>
        <v>0</v>
      </c>
      <c r="ON48" s="31">
        <f ca="1">IF(VolleyballSkalawert[[#This Row],[Skala-Wert]]=$A$3,$A$2,IF(VolleyballNote[[#This Row],[Note]]="",0,VolleyballNote[[#This Row],[Note]]))</f>
        <v>0</v>
      </c>
      <c r="OO48" s="202">
        <f t="shared" ca="1" si="28"/>
        <v>0</v>
      </c>
      <c r="OP48" s="202">
        <f t="shared" ca="1" si="29"/>
        <v>0</v>
      </c>
      <c r="OQ48" s="202">
        <f t="shared" ca="1" si="143"/>
        <v>0</v>
      </c>
      <c r="OR48" s="96" t="str">
        <f t="shared" ca="1" si="144"/>
        <v>!</v>
      </c>
      <c r="OS48" s="96" t="str">
        <f t="shared" ca="1" si="30"/>
        <v>!</v>
      </c>
      <c r="OT48" s="96" t="str">
        <f t="shared" ca="1" si="31"/>
        <v>!</v>
      </c>
      <c r="OU48" s="96" t="str">
        <f ca="1">IF(NOT(OQ48),INDEX(StdFehler[StdFehler],4),IF(COUNTIF(OR48:OT48,$A$2)&gt;=$OQ$13,$A$3,ROUND(AVERAGE(OR48:OT48)/$RX$4,0)*$RX$4))</f>
        <v>Zu wenige Noten</v>
      </c>
      <c r="OV48" s="244" t="str">
        <f t="shared" ca="1" si="145"/>
        <v>nd</v>
      </c>
      <c r="OW48" s="244" t="str">
        <f t="shared" ca="1" si="146"/>
        <v>nd</v>
      </c>
      <c r="OX48" s="244" t="str">
        <f t="shared" ca="1" si="147"/>
        <v>nd</v>
      </c>
      <c r="OY48" s="244" t="str">
        <f t="shared" ca="1" si="148"/>
        <v>nd</v>
      </c>
      <c r="OZ48" s="244" t="str">
        <f t="shared" ca="1" si="149"/>
        <v>nd</v>
      </c>
      <c r="PA48" s="202" t="b">
        <f t="shared" ca="1" si="150"/>
        <v>0</v>
      </c>
      <c r="PB48" s="202">
        <f t="shared" ca="1" si="151"/>
        <v>1</v>
      </c>
      <c r="PC48" s="202">
        <f t="shared" ca="1" si="152"/>
        <v>0</v>
      </c>
      <c r="PD48" s="96" t="str">
        <f t="shared" ca="1" si="153"/>
        <v/>
      </c>
      <c r="PE48" s="96" t="str">
        <f t="shared" ca="1" si="154"/>
        <v/>
      </c>
      <c r="PF48" s="200">
        <f t="shared" ca="1" si="155"/>
        <v>0</v>
      </c>
      <c r="PG48" s="202" t="str">
        <f t="shared" ca="1" si="156"/>
        <v/>
      </c>
      <c r="PH48" s="200" t="str">
        <f t="shared" ca="1" si="157"/>
        <v/>
      </c>
      <c r="PI48" s="200" t="str">
        <f t="shared" ca="1" si="158"/>
        <v/>
      </c>
      <c r="PJ48" s="200" t="str">
        <f t="shared" ca="1" si="159"/>
        <v/>
      </c>
      <c r="PK48" s="242" t="str">
        <f t="shared" ca="1" si="160"/>
        <v/>
      </c>
      <c r="PL48" s="242" t="str">
        <f t="shared" ca="1" si="161"/>
        <v/>
      </c>
      <c r="PM48" s="242" t="str">
        <f t="shared" ca="1" si="162"/>
        <v/>
      </c>
      <c r="PN48" s="242" t="str">
        <f t="shared" ca="1" si="163"/>
        <v>Erste Spielsportart</v>
      </c>
      <c r="PO48" s="242" t="str">
        <f ca="1">IF(PN48=$PM$11,Stammdaten!$AY$27,IF(PR48=$A$2,TRIM(Stammdaten!$AX$25),""))</f>
        <v>nicht durchgeführt</v>
      </c>
      <c r="PP48" s="242" t="str">
        <f t="shared" ca="1" si="164"/>
        <v/>
      </c>
      <c r="PQ48" s="202" t="str">
        <f t="shared" ca="1" si="165"/>
        <v>Erste SpielsportartResultat[@Resultat]</v>
      </c>
      <c r="PR48" s="98" t="str">
        <f t="shared" ca="1" si="166"/>
        <v/>
      </c>
      <c r="PS48" s="202" t="str">
        <f t="shared" ca="1" si="167"/>
        <v/>
      </c>
      <c r="PT48" s="202" t="str">
        <f t="shared" ca="1" si="168"/>
        <v>Erste SpielsportartSkalawert[@[Skala-Wert]]</v>
      </c>
      <c r="PU48" s="98" t="str">
        <f t="shared" ca="1" si="169"/>
        <v/>
      </c>
      <c r="PV48" s="202" t="str">
        <f t="shared" ca="1" si="170"/>
        <v/>
      </c>
      <c r="PW48" s="202" t="str">
        <f t="shared" ca="1" si="171"/>
        <v/>
      </c>
      <c r="PX48" s="202" t="str">
        <f t="shared" ca="1" si="172"/>
        <v>StdDisziplinen[MaxTextSt]</v>
      </c>
      <c r="PY48" s="202" t="str">
        <f t="shared" ca="1" si="173"/>
        <v/>
      </c>
      <c r="PZ48" s="202" t="b">
        <f t="shared" ca="1" si="174"/>
        <v>0</v>
      </c>
      <c r="QA48" s="202" t="str">
        <f t="shared" ca="1" si="175"/>
        <v/>
      </c>
      <c r="QB48" s="202" t="str">
        <f t="shared" ca="1" si="32"/>
        <v/>
      </c>
      <c r="QC48" s="202" t="str">
        <f t="shared" ca="1" si="176"/>
        <v/>
      </c>
      <c r="QD48" s="202" t="str">
        <f t="shared" ca="1" si="177"/>
        <v/>
      </c>
      <c r="QE48" s="242" t="str">
        <f t="shared" ca="1" si="178"/>
        <v/>
      </c>
      <c r="QF48" s="242" t="str">
        <f t="shared" ca="1" si="179"/>
        <v/>
      </c>
      <c r="QG48" s="242" t="str">
        <f t="shared" ca="1" si="180"/>
        <v>Zweite Spielsportart</v>
      </c>
      <c r="QH48" s="242" t="str">
        <f ca="1">IF(QG48=$QF$11,Stammdaten!$AY$27,IF(QK48=$A$2,TRIM(Stammdaten!$AX$25),""))</f>
        <v>nicht durchgeführt</v>
      </c>
      <c r="QI48" s="242" t="str">
        <f t="shared" ca="1" si="181"/>
        <v/>
      </c>
      <c r="QJ48" s="202" t="str">
        <f t="shared" ca="1" si="182"/>
        <v>Zweite SpielsportartResultat[@Resultat]</v>
      </c>
      <c r="QK48" s="98" t="str">
        <f t="shared" ca="1" si="183"/>
        <v/>
      </c>
      <c r="QL48" s="202" t="str">
        <f t="shared" ca="1" si="184"/>
        <v/>
      </c>
      <c r="QM48" s="202" t="str">
        <f t="shared" ca="1" si="185"/>
        <v>Zweite SpielsportartSkalawert[@[Skala-Wert]]</v>
      </c>
      <c r="QN48" s="98" t="str">
        <f t="shared" ca="1" si="186"/>
        <v/>
      </c>
      <c r="QO48" s="202" t="str">
        <f t="shared" ca="1" si="187"/>
        <v/>
      </c>
      <c r="QP48" s="202" t="str">
        <f t="shared" ca="1" si="188"/>
        <v/>
      </c>
      <c r="QQ48" s="202" t="str">
        <f t="shared" ca="1" si="189"/>
        <v>StdDisziplinen[MaxTextSt]</v>
      </c>
      <c r="QR48" s="202" t="str">
        <f t="shared" ca="1" si="190"/>
        <v/>
      </c>
      <c r="QS48" s="202" t="b">
        <f t="shared" ca="1" si="191"/>
        <v>0</v>
      </c>
      <c r="QT48" s="242" t="str">
        <f t="shared" ca="1" si="33"/>
        <v>Dritte Spielsportart</v>
      </c>
      <c r="QU48" s="242" t="str">
        <f ca="1">IF(QT48=$QT$11,MID(Stammdaten!$AX$27,2,LEN(Stammdaten!$AX$27)),IF(QX48=$A$2,TRIM(Stammdaten!$AX$25),""))</f>
        <v>nicht durchgeführt</v>
      </c>
      <c r="QV48" s="242" t="str">
        <f t="shared" ca="1" si="34"/>
        <v/>
      </c>
      <c r="QW48" s="202" t="str">
        <f t="shared" ca="1" si="192"/>
        <v>Dritte SpielsportartResultat[@Resultat]</v>
      </c>
      <c r="QX48" s="98" t="str">
        <f t="shared" ca="1" si="193"/>
        <v/>
      </c>
      <c r="QY48" s="202" t="str">
        <f t="shared" ca="1" si="35"/>
        <v/>
      </c>
      <c r="QZ48" s="202" t="str">
        <f t="shared" ca="1" si="194"/>
        <v>Dritte SpielsportartSkalawert[@[Skala-Wert]]</v>
      </c>
      <c r="RA48" s="98" t="str">
        <f t="shared" ca="1" si="224"/>
        <v/>
      </c>
      <c r="RB48" s="202" t="str">
        <f t="shared" ca="1" si="36"/>
        <v/>
      </c>
      <c r="RC48" s="202" t="str">
        <f t="shared" ca="1" si="196"/>
        <v/>
      </c>
      <c r="RD48" s="202" t="str">
        <f t="shared" ca="1" si="197"/>
        <v>StdDisziplinen[MaxTextSt]</v>
      </c>
      <c r="RE48" s="202" t="str">
        <f t="shared" ca="1" si="37"/>
        <v/>
      </c>
      <c r="RF48" s="244">
        <f t="shared" ca="1" si="38"/>
        <v>99</v>
      </c>
      <c r="RG48" s="244">
        <f t="shared" ca="1" si="39"/>
        <v>99</v>
      </c>
      <c r="RH48" s="244">
        <f t="shared" ca="1" si="40"/>
        <v>99</v>
      </c>
      <c r="RI48" s="244">
        <f t="shared" ca="1" si="41"/>
        <v>99</v>
      </c>
      <c r="RJ48" s="244">
        <f t="shared" ca="1" si="42"/>
        <v>99</v>
      </c>
      <c r="RK48" s="244">
        <f t="shared" ca="1" si="198"/>
        <v>99</v>
      </c>
      <c r="RL48" s="244">
        <f t="shared" ca="1" si="199"/>
        <v>99</v>
      </c>
      <c r="RM48" s="244">
        <f t="shared" ca="1" si="200"/>
        <v>99</v>
      </c>
      <c r="RN48" s="244">
        <f t="shared" ca="1" si="201"/>
        <v>99</v>
      </c>
      <c r="RO48" s="244">
        <f t="shared" ca="1" si="202"/>
        <v>99</v>
      </c>
      <c r="RP48" s="202" t="str">
        <f t="shared" ca="1" si="43"/>
        <v>Zu wenige Noten</v>
      </c>
      <c r="RQ48" s="202" t="str">
        <f t="shared" ca="1" si="203"/>
        <v>Zu wenige Noten</v>
      </c>
      <c r="RR48" s="202" t="str">
        <f t="shared" ca="1" si="203"/>
        <v>Zu wenige Noten</v>
      </c>
      <c r="RS48" s="202" t="str">
        <f t="shared" ca="1" si="204"/>
        <v>Zu wenige Noten</v>
      </c>
      <c r="RT48" s="202" t="str">
        <f t="shared" ca="1" si="204"/>
        <v>Zu wenige Noten</v>
      </c>
      <c r="RU48" s="202" t="str">
        <f t="shared" ca="1" si="205"/>
        <v>Zu wenige Noten</v>
      </c>
      <c r="RV48" s="202" t="str">
        <f t="shared" ca="1" si="206"/>
        <v>Zu wenige Noten</v>
      </c>
      <c r="RW48" s="31"/>
      <c r="RX48" s="56" t="str">
        <f t="shared" ca="1" si="44"/>
        <v>Zu wenige Noten</v>
      </c>
      <c r="RY48" s="31"/>
      <c r="RZ48" s="31" t="str">
        <f t="shared" ca="1" si="45"/>
        <v>Zu wenige Noten</v>
      </c>
      <c r="SA48" s="31" t="str">
        <f t="shared" ca="1" si="46"/>
        <v>Zu wenige Noten</v>
      </c>
      <c r="SB48" s="45" t="str">
        <f t="shared" ca="1" si="47"/>
        <v>Zu wenige Noten</v>
      </c>
      <c r="SC48" s="31" t="str">
        <f t="shared" ca="1" si="207"/>
        <v>Zu wenige Noten</v>
      </c>
      <c r="SD48" s="31" t="str">
        <f t="shared" ca="1" si="208"/>
        <v>Zu wenige Noten</v>
      </c>
      <c r="SE48" s="31" t="str">
        <f t="shared" ca="1" si="225"/>
        <v>Zu wenige Noten</v>
      </c>
      <c r="SF48" s="31" t="str">
        <f t="shared" ca="1" si="209"/>
        <v>Zu wenige Noten</v>
      </c>
      <c r="SG48" s="31" t="str">
        <f t="shared" ca="1" si="226"/>
        <v>Zu wenige Noten</v>
      </c>
      <c r="SH48" s="36">
        <f t="shared" ca="1" si="210"/>
        <v>0</v>
      </c>
      <c r="SI48" s="36">
        <f t="shared" ca="1" si="211"/>
        <v>0</v>
      </c>
      <c r="SJ48" s="36">
        <f t="shared" ca="1" si="212"/>
        <v>0</v>
      </c>
      <c r="SK48" s="31">
        <f t="shared" ca="1" si="213"/>
        <v>99</v>
      </c>
      <c r="SL48" s="31">
        <f t="shared" ca="1" si="214"/>
        <v>99</v>
      </c>
      <c r="SM48" s="36" t="str">
        <f t="shared" ca="1" si="215"/>
        <v>99.0</v>
      </c>
      <c r="SN48" s="31">
        <f t="shared" ca="1" si="216"/>
        <v>99</v>
      </c>
      <c r="SO48" s="36" t="str">
        <f ca="1">IF(NOT(SJ48),INDEX(StdFehler[StdFehler],4),IF(SI48=$SJ$13,$A$3,CONCATENATE(TEXT(SK48,"#.0"),", ",TEXT(SL48,"#.0"),", ",SM48,", ",TEXT(SN48,"#.0"))))</f>
        <v>Zu wenige Noten</v>
      </c>
      <c r="SP48" s="36" t="str">
        <f t="shared" ca="1" si="49"/>
        <v>Zu wenige Noten</v>
      </c>
      <c r="SQ48" s="36" t="str">
        <f t="shared" ca="1" si="49"/>
        <v>Zu wenige Noten</v>
      </c>
      <c r="SR48" s="36" t="str">
        <f t="shared" ca="1" si="49"/>
        <v>Zu wenige Noten</v>
      </c>
      <c r="SS48" s="36" t="str">
        <f t="shared" ca="1" si="49"/>
        <v>Zu wenige Noten</v>
      </c>
      <c r="ST48" s="36" t="str">
        <f t="shared" ca="1" si="217"/>
        <v>Zu wenige Noten</v>
      </c>
      <c r="SU48" s="36"/>
      <c r="SV48" s="214" t="str">
        <f t="shared" si="218"/>
        <v>D</v>
      </c>
      <c r="SW48" s="36"/>
      <c r="SX48" s="214" t="str">
        <f t="shared" si="219"/>
        <v>D</v>
      </c>
      <c r="SY48" s="36"/>
      <c r="SZ48" s="214" t="str">
        <f t="shared" si="220"/>
        <v>D</v>
      </c>
      <c r="TA48" s="36"/>
      <c r="TB48" s="214" t="str">
        <f t="shared" si="221"/>
        <v>D</v>
      </c>
      <c r="TC48" s="31"/>
      <c r="TD48" s="36" t="str">
        <f t="shared" ca="1" si="222"/>
        <v>Zu wenige Noten</v>
      </c>
      <c r="TE48" s="31"/>
      <c r="TF48" s="193" t="str">
        <f ca="1">IF(NOT(SJ48),INDEX(StdFehler[StdFehler],4),IF(SI48=$TF$4,$A$3,ROUND(AVERAGE(RZ48:SC48)/$TF$5,0)*$TF$5))</f>
        <v>Zu wenige Noten</v>
      </c>
      <c r="TH48" s="595" t="str">
        <f>IF(OR($TH$18=Stammdaten!$AX$20,$TH$18=""),Stammdaten!$AX$20,$TH$18)</f>
        <v>Disziplin</v>
      </c>
      <c r="TI48" s="33"/>
      <c r="TJ48" s="33" t="str">
        <f>IF(OR(Geschlecht[[#This Row],[Geschlecht (Skala)]]="",TH48="",TH48=Stammdaten!$AX$20),"",REPLACE(INDEX(StdDisziplinen[TabÜberschriftResultat],TH$3),FIND("XX",INDEX(StdDisziplinen[TabÜberschriftResultat],TH$3),1),2,Geschlecht[[#This Row],[Geschlecht (Skala)]]))</f>
        <v/>
      </c>
      <c r="TK48" s="596"/>
      <c r="TM48" s="37"/>
      <c r="TN48" s="40"/>
      <c r="TO48" s="587">
        <f>IF(TO$16,IF(TP$16=0.5,MROUND(SchwimmenResultat[[#This Row],[Resultat]],TP$16),ROUND(SchwimmenResultat[[#This Row],[Resultat]],TP$16)),ROUNDDOWN(SchwimmenResultat[[#This Row],[Resultat]],TP$16))</f>
        <v>0</v>
      </c>
      <c r="TP48" s="33" t="str">
        <f>IF(OR(Geschlecht[[#This Row],[Geschlecht (Skala)]]="",SchwimmenResultat[[#This Row],[Resultat]]=""),"",REPLACE(INDEX(StdDisziplinen[TabÜberschriftResultat],TM$3),FIND("X",INDEX(StdDisziplinen[TabÜberschriftResultat],TM$3),1),2,Geschlecht[[#This Row],[Geschlecht (Skala)]]))</f>
        <v/>
      </c>
      <c r="TQ48" s="153" t="str">
        <f ca="1">IF(TP48="","",IF(OR(SchwimmenResultat[[#This Row],[Resultat]]=Stammdaten!$AX$22,SchwimmenResultat[[#This Row],[Resultat]]=Stammdaten!$AX$19),Stammdaten!$AX$19,IF(ISNA(INDEX(INDIRECT(TP48),MATCH(SchwimmenGerundet[[#This Row],[Rundung]],INDIRECT(TP48),TP$18))),IF(TP$18=-1,LARGE(INDIRECT(TP48),1),SMALL(INDIRECT(TP48),1)),INDEX(INDIRECT(TP48),MATCH(SchwimmenGerundet[[#This Row],[Rundung]],INDIRECT(TP48),TP$18)))))</f>
        <v/>
      </c>
      <c r="TR48" s="33" t="str">
        <f>IF(OR(TP48="",SchwimmenResultat[[#This Row],[Resultat]]="",SchwimmenResultat[[#This Row],[Resultat]]=Stammdaten!$AX$19),"",REPLACE(INDEX(StdDisziplinen[TabÜberschriftNote],$TM$3),FIND("XX",INDEX(StdDisziplinen[TabÜberschriftNote],$TM$3),1),2,Geschlecht[[#This Row],[Geschlecht (Skala)]]))</f>
        <v/>
      </c>
      <c r="TS48" s="33"/>
      <c r="TT48" s="36" t="str">
        <f ca="1">IF(OR(TR48="",SchwimmenSkalawert[[#This Row],[Skala-Wert]]=Stammdaten!$AX$19),"",INDEX(INDIRECT(TR48),MATCH(SchwimmenSkalawert[[#This Row],[Skala-Wert]],INDIRECT(TP48),0)))</f>
        <v/>
      </c>
      <c r="TU48" s="36"/>
      <c r="TV48" s="190" t="str">
        <f>IF(ZwölfMinLaufHalleResultat[[#This Row],[Resultat]]=0,"",ZwölfMinLaufHalleResultat[[#This Row],[Resultat]])</f>
        <v/>
      </c>
      <c r="TW48" s="190"/>
      <c r="TX48" s="31" t="str">
        <f ca="1">ZwölfMinLaufHalleSkalawert[[#This Row],[Skala-Wert]]</f>
        <v/>
      </c>
      <c r="TZ48" s="31" t="str">
        <f ca="1">ZwölfMinLaufHalleNote[[#This Row],[Note]]</f>
        <v/>
      </c>
      <c r="UA48" s="31"/>
      <c r="UB48" s="190" t="str">
        <f>IF(ZwölfMinLaufimFreienResultat[[#This Row],[Resultat]]=0,"",ZwölfMinLaufimFreienResultat[[#This Row],[Resultat]])</f>
        <v/>
      </c>
      <c r="UC48" s="190"/>
      <c r="UD48" s="192" t="str">
        <f ca="1">ZwölfMinLaufimFreienSkalawert[[#This Row],[Skala-Wert]]</f>
        <v/>
      </c>
      <c r="UF48" s="31" t="str">
        <f ca="1">ZwölfMinLaufimFreienNote[[#This Row],[Note]]</f>
        <v/>
      </c>
      <c r="UG48" s="31"/>
      <c r="UH48" s="597"/>
      <c r="UI48" s="190"/>
      <c r="UJ48" s="587">
        <f>IF(UJ$16,IF(UK$16=0.5,MROUND(BeweglichkeitResultat[[#This Row],[Resultat]],UK$16),ROUND(BeweglichkeitResultat[[#This Row],[Resultat]],UK$16)),ROUNDDOWN(BeweglichkeitResultat[[#This Row],[Resultat]],UK$16))</f>
        <v>0</v>
      </c>
      <c r="UK48" s="190" t="str">
        <f>IF(OR(Geschlecht[[#This Row],[Geschlecht (Skala)]]="",BeweglichkeitResultat[[#This Row],[Resultat]]=""),"",REPLACE(INDEX(StdDisziplinen[TabÜberschriftResultat],UH$3),FIND("X",INDEX(StdDisziplinen[TabÜberschriftResultat],UH$3),1),2,Geschlecht[[#This Row],[Geschlecht (Skala)]]))</f>
        <v/>
      </c>
      <c r="UL48" s="192" t="str">
        <f ca="1">IF(UK48="","",IF(OR(BeweglichkeitResultat[[#This Row],[Resultat]]=Stammdaten!$AX$22,BeweglichkeitResultat[[#This Row],[Resultat]]=Stammdaten!$AX$19),Stammdaten!$AX$19,IF(ISNA(INDEX(INDIRECT(UK48),MATCH(BeweglichkeitGerundet[[#This Row],[Rundung]],INDIRECT(UK48),UK$18))),IF(UK$18=-1,LARGE(INDIRECT(UK48),1),SMALL(INDIRECT(UK48),1)),INDEX(INDIRECT(UK48),MATCH(BeweglichkeitGerundet[[#This Row],[Rundung]],INDIRECT(UK48),UK$18)))))</f>
        <v/>
      </c>
      <c r="UN48" s="18" t="str">
        <f ca="1">IF(OR(BeweglichkeitSkalawert[[#This Row],[Skala-Wert]]="",BeweglichkeitSkalawert[[#This Row],[Skala-Wert]]=Stammdaten!$AX$19),"",REPLACE(INDEX(StdDisziplinen[TabÜberschriftNote],UH$3),FIND("X",INDEX(StdDisziplinen[TabÜberschriftNote],UH$3),1),2,Geschlecht[[#This Row],[Geschlecht (Skala)]]))</f>
        <v/>
      </c>
      <c r="UO48" s="36" t="str">
        <f ca="1">IF(OR(UK48="",BeweglichkeitSkalawert[[#This Row],[Skala-Wert]]=Stammdaten!$AX$19),"",INDEX(INDIRECT(UN48),MATCH(BeweglichkeitSkalawert[[#This Row],[Skala-Wert]],INDIRECT(UK48),0)))</f>
        <v/>
      </c>
      <c r="UP48" s="31"/>
      <c r="UQ48" s="597"/>
      <c r="UR48" s="190"/>
      <c r="US48" s="587">
        <f>IF(US$16,IF(UT$16=0.5,MROUND(RumpfkraftResultat[[#This Row],[Resultat]],UT$16),ROUND(RumpfkraftResultat[[#This Row],[Resultat]],UT$16)),ROUNDDOWN(RumpfkraftResultat[[#This Row],[Resultat]],UT$16))</f>
        <v>0</v>
      </c>
      <c r="UT48" s="190" t="str">
        <f>IF(OR(Geschlecht[[#This Row],[Geschlecht (Skala)]]="",RumpfkraftResultat[[#This Row],[Resultat]]=""),"",REPLACE(INDEX(StdDisziplinen[TabÜberschriftResultat],UQ$3),FIND("X",INDEX(StdDisziplinen[TabÜberschriftResultat],UQ$3),1),2,Geschlecht[[#This Row],[Geschlecht (Skala)]]))</f>
        <v/>
      </c>
      <c r="UU48" s="192" t="str">
        <f ca="1">IF(UT48="","",IF(OR(RumpfkraftResultat[[#This Row],[Resultat]]=Stammdaten!$AX$22,RumpfkraftResultat[[#This Row],[Resultat]]=Stammdaten!$AX$19),Stammdaten!$AX$19,IF(ISNA(INDEX(INDIRECT(UT48),MATCH(RumpfkraftGerundet[[#This Row],[Rundung]],INDIRECT(UT48),UT$18))),IF(UT$18=-1,LARGE(INDIRECT(UT48),1),SMALL(INDIRECT(UT48),1)),INDEX(INDIRECT(UT48),MATCH(RumpfkraftGerundet[[#This Row],[Rundung]],INDIRECT(UT48),UT$18)))))</f>
        <v/>
      </c>
      <c r="UW48" s="18" t="str">
        <f ca="1">IF(OR(RumpfkraftSkalawert[[#This Row],[Skala-Wert]]="",RumpfkraftSkalawert[[#This Row],[Skala-Wert]]=Stammdaten!$AX$19),"",REPLACE(INDEX(StdDisziplinen[TabÜberschriftNote],UQ$3),FIND("X",INDEX(StdDisziplinen[TabÜberschriftNote],UQ$3),1),2,Geschlecht[[#This Row],[Geschlecht (Skala)]]))</f>
        <v/>
      </c>
      <c r="UX48" s="36" t="str">
        <f ca="1">IF(OR(UT48="",RumpfkraftSkalawert[[#This Row],[Skala-Wert]]=Stammdaten!$AX$19),"",INDEX(INDIRECT(UW48),MATCH(RumpfkraftSkalawert[[#This Row],[Skala-Wert]],INDIRECT(UT48),0)))</f>
        <v/>
      </c>
      <c r="UY48" s="31"/>
      <c r="UZ48" s="190" t="str">
        <f>IF(SechzigmLaufResultat[[#This Row],[Resultat]]=0,"",SechzigmLaufResultat[[#This Row],[Resultat]])</f>
        <v/>
      </c>
      <c r="VA48" s="190"/>
      <c r="VB48" s="45" t="str">
        <f ca="1">SechzigmLaufSkalawert[[#This Row],[Skala-Wert]]</f>
        <v/>
      </c>
      <c r="VD48" s="31" t="str">
        <f ca="1">SechzigmLaufNote[[#This Row],[Note]]</f>
        <v/>
      </c>
      <c r="VE48" s="31"/>
      <c r="VF48" s="190" t="str">
        <f>IF(AchtzigmLaufResultat[[#This Row],[Resultat]]=0,"",AchtzigmLaufResultat[[#This Row],[Resultat]])</f>
        <v/>
      </c>
      <c r="VG48" s="190"/>
      <c r="VH48" s="45" t="str">
        <f ca="1">AchtzigmLaufSkalawert[[#This Row],[Skala-Wert]]</f>
        <v/>
      </c>
      <c r="VJ48" s="31" t="str">
        <f ca="1">AchtzigmLaufNote[[#This Row],[Note]]</f>
        <v/>
      </c>
      <c r="VK48" s="31"/>
      <c r="VL48" s="37"/>
      <c r="VM48" s="190"/>
      <c r="VN48" s="587">
        <f>IF(VN$16,IF(VO$16=0.5,MROUND(KonditionsparcoursResultat[[#This Row],[Resultat]],VO$16),ROUND(KonditionsparcoursResultat[[#This Row],[Resultat]],VO$16)),ROUNDDOWN(KonditionsparcoursResultat[[#This Row],[Resultat]],VO$16))</f>
        <v>0</v>
      </c>
      <c r="VO48" s="191" t="str">
        <f>IF(OR(Geschlecht[[#This Row],[Geschlecht (Skala)]]="",VL$16=""),"",MID(Geschlecht[[#This Row],[Geschlecht (Skala)]],1,1)&amp;MID(VL$16,1,1))</f>
        <v/>
      </c>
      <c r="VP48" s="190" t="str">
        <f>IF(OR(VO48="",KonditionsparcoursResultat[[#This Row],[Resultat]]=""),"",REPLACE(INDEX(StdDisziplinen[TabÜberschriftResultat],VL$3),FIND("X",INDEX(StdDisziplinen[TabÜberschriftResultat],VL$3),1),2,VO48))</f>
        <v/>
      </c>
      <c r="VQ48" s="192" t="str">
        <f ca="1">IF(VP48="","",IF(OR(KonditionsparcoursResultat[[#This Row],[Resultat]]=Stammdaten!$AX$22,KonditionsparcoursResultat[[#This Row],[Resultat]]=Stammdaten!$AX$19),Stammdaten!$AX$19,IF(ISNA(INDEX(INDIRECT(VP48),MATCH(KonditionsparcoursGerundet[[#This Row],[Rundung]],INDIRECT(VP48),VP$18))),IF(VP$18=-1,LARGE(INDIRECT(VP48),1),SMALL(INDIRECT(VP48),1)),INDEX(INDIRECT(VP48),MATCH(KonditionsparcoursGerundet[[#This Row],[Rundung]],INDIRECT(VP48),VP$18)))))</f>
        <v/>
      </c>
      <c r="VS48" s="18" t="str">
        <f ca="1">IF(KonditionsparcoursSkalawert[[#This Row],[Skala-Wert]]="","",REPLACE(INDEX(StdDisziplinen[TabÜberschriftNote],VL$3),FIND("X",INDEX(StdDisziplinen[TabÜberschriftNote],VL$3),1),2,VO48))</f>
        <v/>
      </c>
      <c r="VT48" s="31" t="str">
        <f ca="1">IF(OR(VS48="",KonditionsparcoursSkalawert[[#This Row],[Skala-Wert]]=Stammdaten!$AX$19),"",INDEX(INDIRECT(VS48),MATCH(KonditionsparcoursSkalawert[[#This Row],[Skala-Wert]],INDIRECT(VP48),0)))</f>
        <v/>
      </c>
      <c r="VU48" s="22"/>
    </row>
    <row r="49" spans="1:593" ht="30" customHeight="1" x14ac:dyDescent="0.3">
      <c r="A49" s="22"/>
      <c r="B49" s="85" t="s">
        <v>573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588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08"/>
      <c r="CW49" s="208"/>
      <c r="CX49" s="252"/>
      <c r="CY49" s="252"/>
      <c r="CZ49" s="252"/>
      <c r="DA49" s="252"/>
      <c r="DB49" s="252"/>
      <c r="DC49" s="252"/>
      <c r="DD49" s="22"/>
      <c r="DE49" s="22"/>
      <c r="DF49" s="22"/>
      <c r="DG49" s="208"/>
      <c r="DH49" s="208"/>
      <c r="DI49" s="252"/>
      <c r="DJ49" s="252"/>
      <c r="DK49" s="252"/>
      <c r="DL49" s="252"/>
      <c r="DM49" s="252"/>
      <c r="DN49" s="252"/>
      <c r="DO49" s="22"/>
      <c r="DP49" s="22"/>
      <c r="DQ49" s="22"/>
      <c r="DR49" s="208"/>
      <c r="DS49" s="208"/>
      <c r="DT49" s="252"/>
      <c r="DU49" s="252"/>
      <c r="DV49" s="252"/>
      <c r="DW49" s="252"/>
      <c r="DX49" s="252"/>
      <c r="DY49" s="252"/>
      <c r="DZ49" s="22"/>
      <c r="EA49" s="22"/>
      <c r="EB49" s="22"/>
      <c r="EC49" s="22"/>
      <c r="ED49" s="22"/>
      <c r="EE49" s="22"/>
      <c r="EF49" s="208"/>
      <c r="EG49" s="208"/>
      <c r="EH49" s="252"/>
      <c r="EI49" s="252"/>
      <c r="EJ49" s="252"/>
      <c r="EK49" s="252"/>
      <c r="EL49" s="252"/>
      <c r="EM49" s="25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55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195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08"/>
      <c r="GV49" s="208"/>
      <c r="GW49" s="208"/>
      <c r="GX49" s="208"/>
      <c r="GY49" s="208"/>
      <c r="GZ49" s="208"/>
      <c r="HA49" s="22"/>
      <c r="HB49" s="22"/>
      <c r="HC49" s="22"/>
      <c r="HD49" s="22"/>
      <c r="HE49" s="22"/>
      <c r="HF49" s="22"/>
      <c r="HG49" s="208"/>
      <c r="HH49" s="208"/>
      <c r="HI49" s="208"/>
      <c r="HJ49" s="208"/>
      <c r="HK49" s="208"/>
      <c r="HL49" s="208"/>
      <c r="HM49" s="208"/>
      <c r="HN49" s="208"/>
      <c r="HO49" s="208"/>
      <c r="HP49" s="208"/>
      <c r="HQ49" s="208"/>
      <c r="HR49" s="208"/>
      <c r="HS49" s="208"/>
      <c r="HT49" s="208"/>
      <c r="HU49" s="208"/>
      <c r="HV49" s="208"/>
      <c r="HW49" s="208"/>
      <c r="HX49" s="208"/>
      <c r="HY49" s="208"/>
      <c r="HZ49" s="208"/>
      <c r="IA49" s="208"/>
      <c r="IB49" s="208"/>
      <c r="IC49" s="208"/>
      <c r="ID49" s="208"/>
      <c r="IE49" s="208"/>
      <c r="IF49" s="208"/>
      <c r="IG49" s="208"/>
      <c r="IH49" s="208"/>
      <c r="II49" s="208"/>
      <c r="IJ49" s="208"/>
      <c r="IK49" s="208"/>
      <c r="IL49" s="208"/>
      <c r="IM49" s="208"/>
      <c r="IN49" s="208"/>
      <c r="IO49" s="208"/>
      <c r="IP49" s="208"/>
      <c r="IQ49" s="208"/>
      <c r="IR49" s="208"/>
      <c r="IS49" s="208"/>
      <c r="IT49" s="208"/>
      <c r="IU49" s="208"/>
      <c r="IV49" s="208"/>
      <c r="IW49" s="208"/>
      <c r="IX49" s="208"/>
      <c r="IY49" s="208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08"/>
      <c r="JT49" s="208"/>
      <c r="JU49" s="208"/>
      <c r="JV49" s="208"/>
      <c r="JW49" s="208"/>
      <c r="JX49" s="208"/>
      <c r="JY49" s="208"/>
      <c r="JZ49" s="208"/>
      <c r="KA49" s="208"/>
      <c r="KB49" s="208"/>
      <c r="KC49" s="208"/>
      <c r="KD49" s="208"/>
      <c r="KE49" s="22"/>
      <c r="KF49" s="22"/>
      <c r="KG49" s="55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63"/>
      <c r="LV49" s="263"/>
      <c r="LW49" s="263"/>
      <c r="LX49" s="22"/>
      <c r="LY49" s="22"/>
      <c r="LZ49" s="22"/>
      <c r="MA49" s="22"/>
      <c r="MB49" s="22"/>
      <c r="MC49" s="22"/>
      <c r="MD49" s="22"/>
      <c r="ME49" s="22"/>
      <c r="MF49" s="208"/>
      <c r="MG49" s="208"/>
      <c r="MH49" s="208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08"/>
      <c r="OP49" s="208"/>
      <c r="OQ49" s="208"/>
      <c r="OR49" s="208"/>
      <c r="OS49" s="208"/>
      <c r="OT49" s="208"/>
      <c r="OU49" s="22"/>
      <c r="OV49" s="22"/>
      <c r="OW49" s="22"/>
      <c r="OX49" s="22"/>
      <c r="OY49" s="22"/>
      <c r="OZ49" s="22"/>
      <c r="PA49" s="208"/>
      <c r="PB49" s="208"/>
      <c r="PC49" s="208"/>
      <c r="PD49" s="208"/>
      <c r="PE49" s="208"/>
      <c r="PF49" s="208"/>
      <c r="PG49" s="208"/>
      <c r="PH49" s="208"/>
      <c r="PI49" s="208"/>
      <c r="PJ49" s="208"/>
      <c r="PK49" s="208"/>
      <c r="PL49" s="208"/>
      <c r="PM49" s="208"/>
      <c r="PN49" s="208"/>
      <c r="PO49" s="208"/>
      <c r="PP49" s="208"/>
      <c r="PQ49" s="208"/>
      <c r="PR49" s="208"/>
      <c r="PS49" s="208"/>
      <c r="PT49" s="208"/>
      <c r="PU49" s="208"/>
      <c r="PV49" s="208"/>
      <c r="PW49" s="208"/>
      <c r="PX49" s="208"/>
      <c r="PY49" s="208"/>
      <c r="PZ49" s="208"/>
      <c r="QA49" s="208"/>
      <c r="QB49" s="208"/>
      <c r="QC49" s="208"/>
      <c r="QD49" s="208"/>
      <c r="QE49" s="208"/>
      <c r="QF49" s="208"/>
      <c r="QG49" s="208"/>
      <c r="QH49" s="208"/>
      <c r="QI49" s="208"/>
      <c r="QJ49" s="208"/>
      <c r="QK49" s="208"/>
      <c r="QL49" s="208"/>
      <c r="QM49" s="208"/>
      <c r="QN49" s="208"/>
      <c r="QO49" s="208"/>
      <c r="QP49" s="208"/>
      <c r="QQ49" s="208"/>
      <c r="QR49" s="208"/>
      <c r="QS49" s="208"/>
      <c r="QT49" s="208"/>
      <c r="QU49" s="208"/>
      <c r="QV49" s="208"/>
      <c r="QW49" s="208"/>
      <c r="QX49" s="208"/>
      <c r="QY49" s="208"/>
      <c r="QZ49" s="208"/>
      <c r="RA49" s="208"/>
      <c r="RB49" s="208"/>
      <c r="RC49" s="208"/>
      <c r="RD49" s="208"/>
      <c r="RE49" s="208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55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55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</row>
    <row r="50" spans="1:593" hidden="1" x14ac:dyDescent="0.3"/>
    <row r="51" spans="1:593" hidden="1" x14ac:dyDescent="0.3">
      <c r="HR51" s="18"/>
      <c r="HS51" s="18"/>
      <c r="HT51" s="18"/>
      <c r="HU51" s="18"/>
      <c r="HV51" s="18"/>
      <c r="HW51" s="18"/>
      <c r="HX51" s="18"/>
      <c r="PL51" s="18"/>
      <c r="PM51" s="18"/>
    </row>
    <row r="52" spans="1:593" hidden="1" x14ac:dyDescent="0.3">
      <c r="HR52" s="18"/>
      <c r="HS52" s="18"/>
      <c r="HT52" s="18"/>
      <c r="HU52" s="18"/>
      <c r="HV52" s="18"/>
      <c r="HW52" s="18"/>
      <c r="HX52" s="18"/>
      <c r="PL52" s="18"/>
      <c r="PM52" s="18"/>
    </row>
    <row r="53" spans="1:593" hidden="1" x14ac:dyDescent="0.3">
      <c r="HR53" s="18"/>
      <c r="HS53" s="18"/>
      <c r="HT53" s="18"/>
      <c r="HU53" s="18"/>
      <c r="HV53" s="18"/>
      <c r="HW53" s="18"/>
      <c r="HX53" s="18"/>
      <c r="PL53" s="18"/>
      <c r="PM53" s="18"/>
    </row>
    <row r="54" spans="1:593" hidden="1" x14ac:dyDescent="0.3">
      <c r="HR54" s="18"/>
      <c r="HS54" s="18"/>
      <c r="HT54" s="18"/>
      <c r="HU54" s="18"/>
      <c r="HV54" s="18"/>
      <c r="HW54" s="18"/>
      <c r="HX54" s="18"/>
      <c r="PL54" s="18"/>
      <c r="PM54" s="18"/>
    </row>
    <row r="55" spans="1:593" hidden="1" x14ac:dyDescent="0.3">
      <c r="HR55" s="18"/>
      <c r="HS55" s="18"/>
      <c r="HT55" s="18"/>
      <c r="HU55" s="18"/>
      <c r="HV55" s="18"/>
      <c r="HW55" s="18"/>
      <c r="HX55" s="18"/>
      <c r="PL55" s="18"/>
      <c r="PM55" s="18"/>
    </row>
    <row r="56" spans="1:593" hidden="1" x14ac:dyDescent="0.3">
      <c r="HR56" s="18"/>
      <c r="HS56" s="18"/>
      <c r="HT56" s="18"/>
      <c r="HU56" s="18"/>
      <c r="HV56" s="18"/>
      <c r="HW56" s="18"/>
      <c r="HX56" s="18"/>
      <c r="PL56" s="18"/>
      <c r="PM56" s="18"/>
    </row>
    <row r="57" spans="1:593" hidden="1" x14ac:dyDescent="0.3">
      <c r="HR57" s="18"/>
      <c r="HS57" s="18"/>
      <c r="HT57" s="18"/>
      <c r="HU57" s="18"/>
      <c r="HV57" s="18"/>
      <c r="HW57" s="18"/>
      <c r="HX57" s="18"/>
      <c r="PL57" s="18"/>
      <c r="PM57" s="18"/>
    </row>
    <row r="58" spans="1:593" hidden="1" x14ac:dyDescent="0.3">
      <c r="HR58" s="18"/>
      <c r="HS58" s="18"/>
      <c r="HT58" s="18"/>
      <c r="HU58" s="18"/>
      <c r="HV58" s="18"/>
      <c r="HW58" s="18"/>
      <c r="HX58" s="18"/>
      <c r="PL58" s="18"/>
      <c r="PM58" s="18"/>
    </row>
    <row r="59" spans="1:593" hidden="1" x14ac:dyDescent="0.3">
      <c r="HR59" s="18"/>
      <c r="HS59" s="18"/>
      <c r="HT59" s="18"/>
      <c r="HU59" s="18"/>
      <c r="HV59" s="18"/>
      <c r="HW59" s="18"/>
      <c r="HX59" s="18"/>
      <c r="PL59" s="18"/>
      <c r="PM59" s="18"/>
    </row>
  </sheetData>
  <sheetProtection password="CC22" sheet="1" objects="1" scenarios="1" selectLockedCells="1" sort="0" autoFilter="0"/>
  <dataConsolidate/>
  <mergeCells count="243">
    <mergeCell ref="PF11:PF14"/>
    <mergeCell ref="PG11:PL12"/>
    <mergeCell ref="PM11:PY12"/>
    <mergeCell ref="QA13:QE13"/>
    <mergeCell ref="QA11:QE12"/>
    <mergeCell ref="QF11:QR12"/>
    <mergeCell ref="GV11:GV13"/>
    <mergeCell ref="GX11:GX13"/>
    <mergeCell ref="GY11:GY13"/>
    <mergeCell ref="MV14:ND14"/>
    <mergeCell ref="NF14:NN14"/>
    <mergeCell ref="ML14:MT14"/>
    <mergeCell ref="OP10:OP13"/>
    <mergeCell ref="OU10:OU13"/>
    <mergeCell ref="OQ10:OQ12"/>
    <mergeCell ref="OR10:OR13"/>
    <mergeCell ref="NZ10:OH12"/>
    <mergeCell ref="OL10:OL13"/>
    <mergeCell ref="OM10:OM13"/>
    <mergeCell ref="KB10:KB12"/>
    <mergeCell ref="IJ13:IM13"/>
    <mergeCell ref="IN13:IP13"/>
    <mergeCell ref="IR12:IY12"/>
    <mergeCell ref="IS13:IV13"/>
    <mergeCell ref="GQ11:GQ13"/>
    <mergeCell ref="NF10:NN12"/>
    <mergeCell ref="GO11:GO13"/>
    <mergeCell ref="KE10:KE13"/>
    <mergeCell ref="JJ10:JR12"/>
    <mergeCell ref="KD10:KD12"/>
    <mergeCell ref="JW10:JW12"/>
    <mergeCell ref="JT10:JV10"/>
    <mergeCell ref="JT11:JV12"/>
    <mergeCell ref="LR10:MH10"/>
    <mergeCell ref="LU11:MH13"/>
    <mergeCell ref="ML10:MT12"/>
    <mergeCell ref="MV10:ND12"/>
    <mergeCell ref="GZ11:GZ13"/>
    <mergeCell ref="GW11:GW12"/>
    <mergeCell ref="JY10:JY12"/>
    <mergeCell ref="GP11:GP13"/>
    <mergeCell ref="GR11:GR13"/>
    <mergeCell ref="GS11:GS13"/>
    <mergeCell ref="GU11:GU13"/>
    <mergeCell ref="GT11:GT13"/>
    <mergeCell ref="HA11:IY11"/>
    <mergeCell ref="LM10:LM13"/>
    <mergeCell ref="KC10:KC12"/>
    <mergeCell ref="BE11:BM12"/>
    <mergeCell ref="EC11:EC13"/>
    <mergeCell ref="EN10:EN13"/>
    <mergeCell ref="DF11:DF13"/>
    <mergeCell ref="DZ10:EC10"/>
    <mergeCell ref="FE14:FI14"/>
    <mergeCell ref="FK14:FO14"/>
    <mergeCell ref="EV10:EZ13"/>
    <mergeCell ref="BY14:CG14"/>
    <mergeCell ref="CI11:CQ12"/>
    <mergeCell ref="CI14:CQ14"/>
    <mergeCell ref="BE14:BM14"/>
    <mergeCell ref="FQ14:FU14"/>
    <mergeCell ref="FW14:GA14"/>
    <mergeCell ref="BO14:BW14"/>
    <mergeCell ref="CS10:CU10"/>
    <mergeCell ref="FQ11:FU12"/>
    <mergeCell ref="CV11:CW13"/>
    <mergeCell ref="DG11:DH13"/>
    <mergeCell ref="DI11:DN11"/>
    <mergeCell ref="DI12:DI13"/>
    <mergeCell ref="DR11:DS13"/>
    <mergeCell ref="DT11:DY11"/>
    <mergeCell ref="FW11:GA12"/>
    <mergeCell ref="CV10:DC10"/>
    <mergeCell ref="DG10:DN10"/>
    <mergeCell ref="DR10:DY10"/>
    <mergeCell ref="EF10:EM10"/>
    <mergeCell ref="EU10:EU13"/>
    <mergeCell ref="EF11:EG13"/>
    <mergeCell ref="EH11:EM11"/>
    <mergeCell ref="EH12:EH13"/>
    <mergeCell ref="CX11:DC11"/>
    <mergeCell ref="CX12:CX13"/>
    <mergeCell ref="DD11:DD13"/>
    <mergeCell ref="GI11:GM12"/>
    <mergeCell ref="FA10:FA13"/>
    <mergeCell ref="DE11:DE13"/>
    <mergeCell ref="DD10:DF10"/>
    <mergeCell ref="DO10:DQ10"/>
    <mergeCell ref="DQ11:DQ13"/>
    <mergeCell ref="DT12:DT13"/>
    <mergeCell ref="GC11:GG12"/>
    <mergeCell ref="EO10:EO13"/>
    <mergeCell ref="EP10:ES13"/>
    <mergeCell ref="ET10:ET13"/>
    <mergeCell ref="GC14:GG14"/>
    <mergeCell ref="AK14:AS14"/>
    <mergeCell ref="FE10:JH10"/>
    <mergeCell ref="G11:O12"/>
    <mergeCell ref="Q11:Y12"/>
    <mergeCell ref="AU11:BC12"/>
    <mergeCell ref="BY11:CG12"/>
    <mergeCell ref="DO11:DO13"/>
    <mergeCell ref="DP11:DP13"/>
    <mergeCell ref="DZ11:DZ13"/>
    <mergeCell ref="EA11:EA13"/>
    <mergeCell ref="EB11:EB13"/>
    <mergeCell ref="G14:O14"/>
    <mergeCell ref="CS11:CS13"/>
    <mergeCell ref="CT11:CT13"/>
    <mergeCell ref="CU11:CU13"/>
    <mergeCell ref="FE11:FI12"/>
    <mergeCell ref="FK11:FO12"/>
    <mergeCell ref="GI14:GM14"/>
    <mergeCell ref="AU10:BM10"/>
    <mergeCell ref="AA14:AI14"/>
    <mergeCell ref="Q14:Y14"/>
    <mergeCell ref="FA14:FA18"/>
    <mergeCell ref="AU14:BC14"/>
    <mergeCell ref="TH8:VT8"/>
    <mergeCell ref="TM14:TT14"/>
    <mergeCell ref="UH14:UO14"/>
    <mergeCell ref="UH11:UO12"/>
    <mergeCell ref="UQ11:UX12"/>
    <mergeCell ref="UQ14:UX14"/>
    <mergeCell ref="VF12:VJ12"/>
    <mergeCell ref="TV12:TZ12"/>
    <mergeCell ref="UB12:UF12"/>
    <mergeCell ref="TV11:UF11"/>
    <mergeCell ref="TV10:VJ10"/>
    <mergeCell ref="TH9:TK9"/>
    <mergeCell ref="TH10:TK12"/>
    <mergeCell ref="TV9:VT9"/>
    <mergeCell ref="VL10:VT12"/>
    <mergeCell ref="VL14:VT14"/>
    <mergeCell ref="UZ12:VD12"/>
    <mergeCell ref="UZ11:VJ11"/>
    <mergeCell ref="TM9:TT9"/>
    <mergeCell ref="TM10:TT12"/>
    <mergeCell ref="G9:FC9"/>
    <mergeCell ref="RP10:RU13"/>
    <mergeCell ref="AA10:AS10"/>
    <mergeCell ref="AA11:AI12"/>
    <mergeCell ref="JB11:JH13"/>
    <mergeCell ref="G10:Y10"/>
    <mergeCell ref="AK11:AS12"/>
    <mergeCell ref="ML9:RX9"/>
    <mergeCell ref="FE9:KG9"/>
    <mergeCell ref="IZ11:IZ13"/>
    <mergeCell ref="BO10:CQ10"/>
    <mergeCell ref="BO11:BW12"/>
    <mergeCell ref="NP10:NX12"/>
    <mergeCell ref="LN10:LN13"/>
    <mergeCell ref="LO10:LO13"/>
    <mergeCell ref="KI10:KQ12"/>
    <mergeCell ref="ED10:EE10"/>
    <mergeCell ref="ED11:ED13"/>
    <mergeCell ref="EE11:EE13"/>
    <mergeCell ref="LP10:LP13"/>
    <mergeCell ref="LQ10:LQ13"/>
    <mergeCell ref="KI9:MJ9"/>
    <mergeCell ref="KS10:LA12"/>
    <mergeCell ref="JZ10:JZ12"/>
    <mergeCell ref="VH16:VJ16"/>
    <mergeCell ref="TX16:TZ16"/>
    <mergeCell ref="UD16:UF16"/>
    <mergeCell ref="VB16:VD16"/>
    <mergeCell ref="SK9:SN13"/>
    <mergeCell ref="SO9:ST13"/>
    <mergeCell ref="RV14:RV18"/>
    <mergeCell ref="TF14:TF18"/>
    <mergeCell ref="SI9:SI13"/>
    <mergeCell ref="SJ9:SJ12"/>
    <mergeCell ref="TF10:TF13"/>
    <mergeCell ref="SV9:TF9"/>
    <mergeCell ref="SV10:SV13"/>
    <mergeCell ref="SX10:SX13"/>
    <mergeCell ref="SZ10:SZ13"/>
    <mergeCell ref="TB10:TB13"/>
    <mergeCell ref="TD10:TD13"/>
    <mergeCell ref="SB9:SB13"/>
    <mergeCell ref="SC9:SC13"/>
    <mergeCell ref="SH9:SH13"/>
    <mergeCell ref="RZ9:RZ13"/>
    <mergeCell ref="SA9:SA13"/>
    <mergeCell ref="SF10:SF13"/>
    <mergeCell ref="SD10:SD13"/>
    <mergeCell ref="IW13:IY13"/>
    <mergeCell ref="JT13:JV13"/>
    <mergeCell ref="LC14:LK14"/>
    <mergeCell ref="HY13:IA13"/>
    <mergeCell ref="KA10:KA11"/>
    <mergeCell ref="QP14:QR14"/>
    <mergeCell ref="QT11:RE12"/>
    <mergeCell ref="RC14:RE14"/>
    <mergeCell ref="PW14:PY14"/>
    <mergeCell ref="MF14:MH14"/>
    <mergeCell ref="LX14:ME14"/>
    <mergeCell ref="PW13:PY13"/>
    <mergeCell ref="PO13:PV13"/>
    <mergeCell ref="QP13:QR13"/>
    <mergeCell ref="QH13:QO13"/>
    <mergeCell ref="RC13:RE13"/>
    <mergeCell ref="QU13:RB13"/>
    <mergeCell ref="PG13:PL13"/>
    <mergeCell ref="PB11:PB14"/>
    <mergeCell ref="PC11:PC14"/>
    <mergeCell ref="PD11:PD14"/>
    <mergeCell ref="IC12:IG12"/>
    <mergeCell ref="IC13:IG13"/>
    <mergeCell ref="IH12:IP12"/>
    <mergeCell ref="SE10:SE13"/>
    <mergeCell ref="RV10:RV13"/>
    <mergeCell ref="SG10:SG13"/>
    <mergeCell ref="SD9:SG9"/>
    <mergeCell ref="IZ14:IZ18"/>
    <mergeCell ref="KE14:KE18"/>
    <mergeCell ref="JC14:JH14"/>
    <mergeCell ref="MJ14:MJ18"/>
    <mergeCell ref="NP14:NX14"/>
    <mergeCell ref="NZ14:OH14"/>
    <mergeCell ref="JX10:JX12"/>
    <mergeCell ref="ON10:ON13"/>
    <mergeCell ref="OJ10:OJ13"/>
    <mergeCell ref="OK10:OK13"/>
    <mergeCell ref="JJ14:JR14"/>
    <mergeCell ref="KS14:LA14"/>
    <mergeCell ref="RF10:RO10"/>
    <mergeCell ref="OS10:OS13"/>
    <mergeCell ref="OT10:OT13"/>
    <mergeCell ref="KI14:KQ14"/>
    <mergeCell ref="LC10:LK12"/>
    <mergeCell ref="OV10:RE10"/>
    <mergeCell ref="OO10:OO13"/>
    <mergeCell ref="PE11:PE14"/>
    <mergeCell ref="HS12:IA12"/>
    <mergeCell ref="HH12:HH14"/>
    <mergeCell ref="HU13:HX13"/>
    <mergeCell ref="HM12:HR12"/>
    <mergeCell ref="HM13:HR13"/>
    <mergeCell ref="HI12:HI14"/>
    <mergeCell ref="HJ12:HJ14"/>
    <mergeCell ref="HK12:HK14"/>
    <mergeCell ref="HL12:HL14"/>
  </mergeCells>
  <conditionalFormatting sqref="AF19:AF48 KN19:KN48 LH19:LH48 TX19:TX48">
    <cfRule type="expression" dxfId="942" priority="10">
      <formula>RIGHT(TEXT(AF19,"#.0"),1)="0"</formula>
    </cfRule>
  </conditionalFormatting>
  <conditionalFormatting sqref="SV19:SV48 SX19:SX48 SZ19:SZ48 TB19:TB48">
    <cfRule type="cellIs" dxfId="941" priority="730" operator="equal">
      <formula>$A$2</formula>
    </cfRule>
  </conditionalFormatting>
  <conditionalFormatting sqref="FC19:FC48 JH19:JH48 MJ19:MJ48 RX19:RX48 TF19:TF48 KG19:KG48">
    <cfRule type="cellIs" dxfId="940" priority="618" operator="lessThan">
      <formula>4</formula>
    </cfRule>
  </conditionalFormatting>
  <conditionalFormatting sqref="TF19:TF48">
    <cfRule type="expression" dxfId="939" priority="628">
      <formula>$SH19&lt;$TF$4</formula>
    </cfRule>
  </conditionalFormatting>
  <conditionalFormatting sqref="KG19:KG48 EU19:FA48 FC19:FC48 IZ19:IZ48 KD19:KE48 MJ19:MJ48 OU19:OU48 RX19:RX48 SO19:ST48 TD19:TD48 TF19:TF48 RP19:RV48 RZ19:SG48">
    <cfRule type="expression" dxfId="938" priority="13">
      <formula>$E19=""</formula>
    </cfRule>
  </conditionalFormatting>
  <conditionalFormatting sqref="FC19:FC48">
    <cfRule type="expression" dxfId="937" priority="77">
      <formula>$EN19&lt;$FA$4</formula>
    </cfRule>
  </conditionalFormatting>
  <conditionalFormatting sqref="IZ19:IZ48">
    <cfRule type="expression" dxfId="936" priority="80">
      <formula>$GU19&lt;$IZ$4</formula>
    </cfRule>
  </conditionalFormatting>
  <conditionalFormatting sqref="KG19:KG48">
    <cfRule type="expression" dxfId="935" priority="94">
      <formula>$JY19&lt;$KA$12</formula>
    </cfRule>
  </conditionalFormatting>
  <conditionalFormatting sqref="RX19:RX48">
    <cfRule type="expression" dxfId="934" priority="260">
      <formula>$OO19&lt;$RV$4</formula>
    </cfRule>
  </conditionalFormatting>
  <conditionalFormatting sqref="IZ19:IZ48 JH19:JH48 JW19:JW48 KB19:KB48 KQ19:KQ48 LA19:LA48 LK19:LK48 LM19:LO48 MJ19:MJ48 SB19:SB48 TF19:TF48">
    <cfRule type="expression" dxfId="933" priority="11">
      <formula>RIGHT(TEXT(IZ19,"#.00"),2)="00"</formula>
    </cfRule>
    <cfRule type="expression" dxfId="932" priority="12">
      <formula>RIGHT(TEXT(IZ19,"#.00"),2)="50"</formula>
    </cfRule>
  </conditionalFormatting>
  <conditionalFormatting sqref="TB19:TB48">
    <cfRule type="expression" dxfId="931" priority="629">
      <formula>$SC19=$A$3</formula>
    </cfRule>
    <cfRule type="expression" dxfId="930" priority="630">
      <formula>AND($E19&lt;&gt;"",OR(ISNUMBER($SC19),$SC19=$A$3))</formula>
    </cfRule>
    <cfRule type="expression" dxfId="929" priority="640">
      <formula>AND($E19&lt;&gt;"",NOT(OR(ISNUMBER($SC19),$SC19=$A$3)))</formula>
    </cfRule>
  </conditionalFormatting>
  <conditionalFormatting sqref="SZ19:SZ48">
    <cfRule type="expression" dxfId="928" priority="641">
      <formula>$SB19=$A$3</formula>
    </cfRule>
    <cfRule type="expression" dxfId="927" priority="642">
      <formula>AND($E19&lt;&gt;"",OR(ISNUMBER($SB19),$SB19=$A$3))</formula>
    </cfRule>
    <cfRule type="expression" dxfId="926" priority="652">
      <formula>AND($E19&lt;&gt;"",NOT(OR(ISNUMBER($SB19),$SB19=$A$3)))</formula>
    </cfRule>
  </conditionalFormatting>
  <conditionalFormatting sqref="SX19:SX48">
    <cfRule type="expression" dxfId="925" priority="653">
      <formula>$SA19=$A$3</formula>
    </cfRule>
    <cfRule type="expression" dxfId="924" priority="654">
      <formula>AND($E19&lt;&gt;"",OR(ISNUMBER($SA19),$SA19=$A$3))</formula>
    </cfRule>
    <cfRule type="expression" dxfId="923" priority="664">
      <formula>AND($E19&lt;&gt;"",NOT(OR(ISNUMBER($SA19),$SA19=$A$3)))</formula>
    </cfRule>
  </conditionalFormatting>
  <conditionalFormatting sqref="SV19:SV48">
    <cfRule type="expression" dxfId="922" priority="665">
      <formula>$RZ19=$A$3</formula>
    </cfRule>
    <cfRule type="expression" dxfId="921" priority="666">
      <formula>AND($E19&lt;&gt;"",OR(ISNUMBER($RZ19),$RZ19=$A$3))</formula>
    </cfRule>
    <cfRule type="expression" dxfId="920" priority="729">
      <formula>AND($E19&lt;&gt;"",NOT(OR(ISNUMBER($RZ19),$RZ19=$A$3)))</formula>
    </cfRule>
  </conditionalFormatting>
  <dataValidations count="12">
    <dataValidation type="list" allowBlank="1" showInputMessage="1" showErrorMessage="1" sqref="E49:F49">
      <formula1>$E$15</formula1>
    </dataValidation>
    <dataValidation type="list" allowBlank="1" showInputMessage="1" showErrorMessage="1" sqref="TK19:TK48">
      <formula1>INDIRECT(TJ19)</formula1>
    </dataValidation>
    <dataValidation type="list" allowBlank="1" showInputMessage="1" showErrorMessage="1" sqref="TV16">
      <formula1>INDIRECT($AS$16)</formula1>
    </dataValidation>
    <dataValidation type="list" allowBlank="1" showInputMessage="1" showErrorMessage="1" sqref="VL16 G16 Q16 AA16 AK16 AU16 BE16 BO16 BY16 CI16 FE16 FK16 FQ16 FW16 GC16 GI16 JJ16 KI16 KS16 LC16 ML16 MV16 NF16 NP16 NZ16 TK16 TM16 UH16 UQ16">
      <formula1>INDIRECT($A$1)</formula1>
    </dataValidation>
    <dataValidation type="custom" allowBlank="1" showInputMessage="1" showErrorMessage="1" errorTitle="Eingabebeschränkung" error="Bitte eine Zahl eingeben_x000a_oder &quot;D&quot; für &quot;Dispensiert&quot;" sqref="VL19:VL48 G19:G48 Q19:Q48 AA19:AA48 AK19:AK48 AU19:AU48 BE19:BE48 BO19:BO48 BY19:BY48 CI19:CI48 ML19:ML48 MV19:MV48 NF19:NF48 NP19:NP48 TM19:TM48 UH19:UH48 UQ19:UQ48">
      <formula1>OR(ISNUMBER(G19),G19=$A$2,G19=$A$3)</formula1>
    </dataValidation>
    <dataValidation type="list" allowBlank="1" showInputMessage="1" showErrorMessage="1" sqref="C11">
      <formula1>INDIRECT($C$1)</formula1>
    </dataValidation>
    <dataValidation type="custom" allowBlank="1" showInputMessage="1" showErrorMessage="1" errorTitle="Eingabebeschränkung" error="Bitte eine Zahl ≤ 20 eingeben_x000a_oder &quot;D&quot; für &quot;Dispensiert&quot;" sqref="GI19:GI48 FE19:FE48 FK19:FK48 FQ19:FQ48 FW19:FW48 GC19:GC48">
      <formula1>OR(AND(ISNUMBER(FE19),FE19&lt;=FE$4),FE19=$A$2,FE19=$A$3)</formula1>
    </dataValidation>
    <dataValidation type="custom" allowBlank="1" showInputMessage="1" showErrorMessage="1" errorTitle="Eingabebeschränkung" error="Bitte eine Zahl &lt; 20 eingeben_x000a_oder &quot;D&quot; für &quot;Dispensiert&quot;" sqref="FJ19:FJ48">
      <formula1>OR(AND(ISNUMBER(FJ19),FJ$4&lt;20),FJ19=$A$2,FJ19=$A$3)</formula1>
    </dataValidation>
    <dataValidation type="custom" allowBlank="1" showInputMessage="1" showErrorMessage="1" errorTitle="Eingabebeschränkung" error="Bitte eine Zahl ≤ 26 eingeben_x000a_oder &quot;D&quot; für &quot;Dispensiert&quot;" sqref="JJ19:JJ48">
      <formula1>OR(AND(ISNUMBER(JJ19),JJ19&lt;=JJ$4),JJ19=$A$2,JJ19=$A$3)</formula1>
    </dataValidation>
    <dataValidation type="custom" allowBlank="1" showInputMessage="1" showErrorMessage="1" errorTitle="Eingabebeschränkung" error="Bitte eine Zahl ≤ 12 eingeben_x000a_oder &quot;D&quot; für &quot;Dispensiert&quot;" sqref="LC19:LC48 KI19:KI48">
      <formula1>OR(AND(ISNUMBER(KI19),KI19&lt;=KI$4),KI19=$A$2,KI19=$A$3)</formula1>
    </dataValidation>
    <dataValidation type="custom" allowBlank="1" showInputMessage="1" showErrorMessage="1" errorTitle="Eingabebeschränkung" error="Bitte eine Zahl ≤ 18 eingeben_x000a_oder &quot;D&quot; für &quot;Dispensiert&quot;" sqref="KS19:KS48">
      <formula1>OR(AND(ISNUMBER(KS19),KS19&lt;=KS$4),KS19=$A$2,KS19=$A$3)</formula1>
    </dataValidation>
    <dataValidation type="custom" allowBlank="1" showInputMessage="1" showErrorMessage="1" errorTitle="Eingabebeschränkung" error="Bitte eine Zahl ≤ 36 (1. OS) bzw. ≤ 36 (2. OS) eingeben_x000a_oder &quot;D&quot; für &quot;Dispensiert&quot;" sqref="NZ19:NZ48">
      <formula1>OR(AND(ISNUMBER(NZ19),NZ19&lt;=NZ$4),NZ19=$A$2,NZ19=$A$3)</formula1>
    </dataValidation>
  </dataValidations>
  <pageMargins left="0.70866141732283472" right="0.70866141732283472" top="0.78740157480314965" bottom="0.78740157480314965" header="0.31496062992125984" footer="0.31496062992125984"/>
  <pageSetup paperSize="8" scale="10" orientation="landscape" r:id="rId1"/>
  <headerFooter>
    <oddHeader>&amp;LSchulsportprüfung NW OW SZ UR</oddHeader>
    <oddFooter>&amp;L&amp;D&amp;C&amp;A&amp;R&amp;P / &amp;N</oddFooter>
  </headerFooter>
  <legacyDrawing r:id="rId2"/>
  <tableParts count="111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id="{98AA9BA1-5761-4960-97BA-35F8CA8A8034}">
            <xm:f>AND($TH$18&lt;&gt;"""",TH19&lt;&gt;$TH$18,TH19&lt;&gt;Stammdaten!$AX$20)</xm:f>
            <x14:dxf>
              <font>
                <b val="0"/>
                <i val="0"/>
                <color rgb="FF7030A0"/>
              </font>
            </x14:dxf>
          </x14:cfRule>
          <xm:sqref>TH19:TH48</xm:sqref>
        </x14:conditionalFormatting>
        <x14:conditionalFormatting xmlns:xm="http://schemas.microsoft.com/office/excel/2006/main">
          <x14:cfRule type="cellIs" priority="73" operator="equal" id="{A48A961A-C3E9-4C98-9B08-B8CEF3EDD360}">
            <xm:f>Stammdaten!$C$3</xm:f>
            <x14:dxf>
              <font>
                <color rgb="FFFF9900"/>
              </font>
            </x14:dxf>
          </x14:cfRule>
          <xm:sqref>E19:E48</xm:sqref>
        </x14:conditionalFormatting>
        <x14:conditionalFormatting xmlns:xm="http://schemas.microsoft.com/office/excel/2006/main">
          <x14:cfRule type="cellIs" priority="14" operator="equal" id="{DABFF4D8-1A27-4A33-B611-8F8A97439045}">
            <xm:f>Stammdaten!$AZ$4</xm:f>
            <x14:dxf>
              <font>
                <b val="0"/>
                <i val="0"/>
                <color theme="2" tint="-0.24994659260841701"/>
              </font>
            </x14:dxf>
          </x14:cfRule>
          <xm:sqref>DF19:DF48 DQ19:DQ48 EC19:EC48 CU19:DC48</xm:sqref>
        </x14:conditionalFormatting>
        <x14:conditionalFormatting xmlns:xm="http://schemas.microsoft.com/office/excel/2006/main">
          <x14:cfRule type="expression" priority="17" id="{97E00BD4-A667-44D6-885A-8546441F0E1C}">
            <xm:f>AND(TK19&lt;&gt;"",OR(TH19="",TH19=Stammdaten!$AX$20))</xm:f>
            <x14:dxf>
              <font>
                <color rgb="FFFF0000"/>
              </font>
            </x14:dxf>
          </x14:cfRule>
          <xm:sqref>TK19:TK48</xm:sqref>
        </x14:conditionalFormatting>
        <x14:conditionalFormatting xmlns:xm="http://schemas.microsoft.com/office/excel/2006/main">
          <x14:cfRule type="cellIs" priority="15" operator="equal" id="{AA0AF2B8-89A0-4A74-8C62-387AF2714AB7}">
            <xm:f>Stammdaten!$AZ$5</xm:f>
            <x14:dxf>
              <font>
                <b val="0"/>
                <i val="0"/>
                <color theme="2" tint="-0.24994659260841701"/>
              </font>
            </x14:dxf>
          </x14:cfRule>
          <xm:sqref>EU19:FA48 FC19:FC48 IZ19:IZ48 KD19:KE48 KG19:KG48 MJ19:MJ48 OU19:OU48 RX19:RX48 SO19:ST48 TD19:TD48 TF19:TF48 RP19:RV48 RZ19:SG48</xm:sqref>
        </x14:conditionalFormatting>
        <x14:conditionalFormatting xmlns:xm="http://schemas.microsoft.com/office/excel/2006/main">
          <x14:cfRule type="cellIs" priority="23" operator="equal" id="{937EDC39-8872-4B27-A95F-E0160C8EAEBA}">
            <xm:f>Stammdaten!$AX$19</xm:f>
            <x14:dxf>
              <font>
                <b val="0"/>
                <i val="0"/>
                <color rgb="FFFF66FF"/>
              </font>
            </x14:dxf>
          </x14:cfRule>
          <xm:sqref>G19:G48 Q19:Q48 AA19:AA48 AK19:AK48 AU19:AU48 BE19:BE48 BO19:BO48 BY19:BY48 CI19:CI48 EU19:FA48 FC19:FC48 FE19:FE48 FK19:FK48 FQ19:FQ48 FW19:FW48 GC19:GC48 GI19:GI48 IZ19:IZ48 JJ19:JJ48 KD19:KE48 KG19:KG48 KI19:KI48 KS19:KS48 LC19:LC48 MJ19:MJ48 ML19:ML48 MV19:MV48 NF19:NF48 NP19:NP48 NZ19:NZ48 OU19:OU48 RX19:RX48 SO19:ST48 TD19:TD48 TF19:TF48 TK19:TK48 TM19:TM48 TV19:TV48 UB19:UB48 UH19:UH48 UQ19:UQ48 UZ19:UZ48 VF19:VF48 VL19:VL48 RP19:RV48 RZ19:SG48</xm:sqref>
        </x14:conditionalFormatting>
        <x14:conditionalFormatting xmlns:xm="http://schemas.microsoft.com/office/excel/2006/main">
          <x14:cfRule type="cellIs" priority="61" operator="equal" id="{45A0506B-5F9A-4D99-BB5D-170D82993992}">
            <xm:f>Stammdaten!$AX$22</xm:f>
            <x14:dxf>
              <font>
                <b/>
                <i val="0"/>
                <color rgb="FFFF66FF"/>
              </font>
            </x14:dxf>
          </x14:cfRule>
          <x14:cfRule type="expression" priority="74" id="{324FC8B5-1693-4110-8161-D37BFA5F86C3}">
            <xm:f>IF($E19=Stammdaten!$C$3,1)</xm:f>
            <x14:dxf>
              <font>
                <color rgb="FFFF9900"/>
              </font>
            </x14:dxf>
          </x14:cfRule>
          <xm:sqref>G19:G48 Q19:Q48 AA19:AA48 AK19:AK48 AU19:AU48 BE19:BE48 BO19:BO48 BY19:BY48 CI19:CI48 FE19:FE48 FK19:FK48 FQ19:FQ48 FW19:FW48 GC19:GC48 GI19:GI48 JJ19:JJ48 KI19:KI48 KS19:KS48 LC19:LC48 ML19:ML48 MV19:MV48 NF19:NF48 NP19:NP48 NZ19:NZ48 TK19:TK48 TM19:TM48 TV19:TV48 UB19:UB48 UH19:UH48 UQ19:UQ48 UZ19:UZ48 VF19:VF48 VL19:VL48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INDIRECT(Stammdaten!$AX$10)</xm:f>
          </x14:formula1>
          <xm:sqref>E19:E48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A56"/>
  <sheetViews>
    <sheetView zoomScale="50" zoomScaleNormal="5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8" width="11.5546875" style="10"/>
    <col min="9" max="9" width="1.109375" style="10" customWidth="1"/>
    <col min="10" max="11" width="11.5546875" style="10"/>
    <col min="12" max="12" width="2.6640625" style="10" customWidth="1"/>
    <col min="13" max="14" width="11.5546875" style="10"/>
    <col min="15" max="15" width="1.109375" style="10" customWidth="1"/>
    <col min="16" max="17" width="11.5546875" style="10"/>
    <col min="18" max="18" width="2.6640625" style="10" customWidth="1"/>
    <col min="19" max="20" width="11.5546875" style="10"/>
    <col min="21" max="21" width="1.109375" style="10" customWidth="1"/>
    <col min="22" max="23" width="11.5546875" style="10"/>
    <col min="24" max="24" width="2.6640625" style="10" customWidth="1"/>
    <col min="25" max="25" width="11.5546875" style="10"/>
    <col min="26" max="26" width="11.5546875" style="10" customWidth="1"/>
    <col min="27" max="27" width="1.109375" style="10" customWidth="1"/>
    <col min="28" max="28" width="11.6640625" style="10" customWidth="1"/>
    <col min="29" max="29" width="11.5546875" style="10"/>
    <col min="30" max="30" width="2.6640625" style="10" customWidth="1"/>
    <col min="31" max="32" width="11.5546875" style="10"/>
    <col min="33" max="33" width="1.109375" style="10" customWidth="1"/>
    <col min="34" max="35" width="11.5546875" style="10"/>
    <col min="36" max="36" width="2.6640625" style="10" customWidth="1"/>
    <col min="37" max="38" width="11.5546875" style="10"/>
    <col min="39" max="39" width="1.109375" style="10" customWidth="1"/>
    <col min="40" max="41" width="11.5546875" style="10"/>
    <col min="42" max="42" width="2.6640625" style="10" customWidth="1"/>
    <col min="43" max="43" width="11.6640625" style="10" customWidth="1"/>
    <col min="44" max="44" width="11.5546875" style="10"/>
    <col min="45" max="45" width="1.109375" style="10" customWidth="1"/>
    <col min="46" max="46" width="11.6640625" style="10" customWidth="1"/>
    <col min="47" max="47" width="11.5546875" style="10"/>
    <col min="48" max="48" width="2.6640625" style="10" customWidth="1"/>
    <col min="49" max="49" width="11.6640625" style="10" customWidth="1"/>
    <col min="50" max="50" width="11.5546875" style="10"/>
    <col min="51" max="51" width="1.109375" style="10" customWidth="1"/>
    <col min="52" max="53" width="11.5546875" style="10" customWidth="1"/>
    <col min="54" max="16384" width="11.5546875" style="10"/>
  </cols>
  <sheetData>
    <row r="1" spans="1:53" s="11" customFormat="1" x14ac:dyDescent="0.3">
      <c r="A1" s="4" t="str">
        <f>INDEX(StdDisziplinen[StdDisziplin],1)</f>
        <v>60-m-Lauf</v>
      </c>
      <c r="G1" s="4" t="str">
        <f>INDEX(StdDisziplinen[StdDisziplin],2)</f>
        <v>80-m-Lauf</v>
      </c>
      <c r="M1" s="4" t="str">
        <f>INDEX(StdDisziplinen[StdDisziplin],3)</f>
        <v>12-Min.-Lauf (Halle)</v>
      </c>
      <c r="S1" s="4" t="str">
        <f>INDEX(StdDisziplinen[StdDisziplin],4)</f>
        <v>12-Min.-Lauf (im Freien)</v>
      </c>
      <c r="Y1" s="4" t="str">
        <f>INDEX(StdDisziplinen[StdDisziplin],5)</f>
        <v>Hochsprung</v>
      </c>
      <c r="AE1" s="4" t="str">
        <f>INDEX(StdDisziplinen[StdDisziplin],6)</f>
        <v>Weitsprung</v>
      </c>
      <c r="AK1" s="4" t="str">
        <f>INDEX(StdDisziplinen[StdDisziplin],7)</f>
        <v>Ballwurf</v>
      </c>
      <c r="AQ1" s="4" t="str">
        <f>INDEX(StdDisziplinen[StdDisziplin],8)</f>
        <v>Kugelstossen</v>
      </c>
      <c r="AW1" s="4" t="str">
        <f>INDEX(StdDisziplinen[StdDisziplin],9)</f>
        <v>Speerwurf</v>
      </c>
    </row>
    <row r="2" spans="1:53" s="11" customFormat="1" x14ac:dyDescent="0.3">
      <c r="A2" s="584" t="str">
        <f>INDEX(StdSkala[StdSkalaText],4)</f>
        <v>Knaben K2</v>
      </c>
      <c r="B2" s="584"/>
      <c r="C2" s="99"/>
      <c r="D2" s="584" t="str">
        <f>INDEX(StdSkala[StdSkalaText],2)</f>
        <v>Mädchen M2</v>
      </c>
      <c r="E2" s="584"/>
      <c r="G2" s="584" t="str">
        <f>$A$2</f>
        <v>Knaben K2</v>
      </c>
      <c r="H2" s="584"/>
      <c r="I2" s="99"/>
      <c r="J2" s="584" t="str">
        <f>$D$2</f>
        <v>Mädchen M2</v>
      </c>
      <c r="K2" s="584"/>
      <c r="M2" s="585" t="str">
        <f>$A$2</f>
        <v>Knaben K2</v>
      </c>
      <c r="N2" s="585"/>
      <c r="O2" s="240"/>
      <c r="P2" s="585" t="str">
        <f>$D$2</f>
        <v>Mädchen M2</v>
      </c>
      <c r="Q2" s="585"/>
      <c r="S2" s="584" t="str">
        <f>$A$2</f>
        <v>Knaben K2</v>
      </c>
      <c r="T2" s="584"/>
      <c r="U2" s="99"/>
      <c r="V2" s="584" t="str">
        <f>$D$2</f>
        <v>Mädchen M2</v>
      </c>
      <c r="W2" s="584"/>
      <c r="Y2" s="584" t="str">
        <f>$A$2</f>
        <v>Knaben K2</v>
      </c>
      <c r="Z2" s="584"/>
      <c r="AA2" s="99"/>
      <c r="AB2" s="584" t="str">
        <f>$D$2</f>
        <v>Mädchen M2</v>
      </c>
      <c r="AC2" s="584"/>
      <c r="AE2" s="584" t="str">
        <f>$A$2</f>
        <v>Knaben K2</v>
      </c>
      <c r="AF2" s="584"/>
      <c r="AG2" s="99"/>
      <c r="AH2" s="584" t="str">
        <f>$D$2</f>
        <v>Mädchen M2</v>
      </c>
      <c r="AI2" s="584"/>
      <c r="AK2" s="584" t="str">
        <f>$A$2</f>
        <v>Knaben K2</v>
      </c>
      <c r="AL2" s="584"/>
      <c r="AM2" s="99"/>
      <c r="AN2" s="584" t="str">
        <f>$D$2</f>
        <v>Mädchen M2</v>
      </c>
      <c r="AO2" s="584"/>
      <c r="AQ2" s="584" t="str">
        <f>$A$2</f>
        <v>Knaben K2</v>
      </c>
      <c r="AR2" s="584"/>
      <c r="AS2" s="99"/>
      <c r="AT2" s="584" t="str">
        <f>$D$2</f>
        <v>Mädchen M2</v>
      </c>
      <c r="AU2" s="584"/>
      <c r="AW2" s="584" t="str">
        <f>$A$2</f>
        <v>Knaben K2</v>
      </c>
      <c r="AX2" s="584"/>
      <c r="AY2" s="99"/>
      <c r="AZ2" s="584" t="str">
        <f>$D$2</f>
        <v>Mädchen M2</v>
      </c>
      <c r="BA2" s="584"/>
    </row>
    <row r="3" spans="1:53" x14ac:dyDescent="0.3">
      <c r="A3" s="1" t="s">
        <v>22</v>
      </c>
      <c r="B3" s="1" t="s">
        <v>7</v>
      </c>
      <c r="D3" s="1" t="s">
        <v>22</v>
      </c>
      <c r="E3" s="1" t="s">
        <v>7</v>
      </c>
      <c r="G3" s="1" t="s">
        <v>22</v>
      </c>
      <c r="H3" s="1" t="s">
        <v>7</v>
      </c>
      <c r="J3" s="1" t="s">
        <v>22</v>
      </c>
      <c r="K3" s="1" t="s">
        <v>7</v>
      </c>
      <c r="M3" s="1" t="s">
        <v>22</v>
      </c>
      <c r="N3" s="1" t="s">
        <v>7</v>
      </c>
      <c r="P3" s="1" t="s">
        <v>22</v>
      </c>
      <c r="Q3" s="1" t="s">
        <v>7</v>
      </c>
      <c r="S3" s="1" t="s">
        <v>22</v>
      </c>
      <c r="T3" s="1" t="s">
        <v>7</v>
      </c>
      <c r="V3" s="1" t="s">
        <v>22</v>
      </c>
      <c r="W3" s="1" t="s">
        <v>7</v>
      </c>
      <c r="Y3" s="1" t="s">
        <v>22</v>
      </c>
      <c r="Z3" s="1" t="s">
        <v>7</v>
      </c>
      <c r="AB3" s="7" t="s">
        <v>22</v>
      </c>
      <c r="AC3" s="1" t="s">
        <v>7</v>
      </c>
      <c r="AE3" s="1" t="s">
        <v>22</v>
      </c>
      <c r="AF3" s="1" t="s">
        <v>7</v>
      </c>
      <c r="AH3" s="7" t="s">
        <v>22</v>
      </c>
      <c r="AI3" s="1" t="s">
        <v>7</v>
      </c>
      <c r="AK3" s="1" t="s">
        <v>22</v>
      </c>
      <c r="AL3" s="1" t="s">
        <v>7</v>
      </c>
      <c r="AN3" s="7" t="s">
        <v>22</v>
      </c>
      <c r="AO3" s="1" t="s">
        <v>7</v>
      </c>
      <c r="AQ3" s="1" t="s">
        <v>22</v>
      </c>
      <c r="AR3" s="1" t="s">
        <v>7</v>
      </c>
      <c r="AT3" s="7" t="s">
        <v>22</v>
      </c>
      <c r="AU3" s="1" t="s">
        <v>7</v>
      </c>
      <c r="AW3" s="1" t="s">
        <v>22</v>
      </c>
      <c r="AX3" s="1" t="s">
        <v>7</v>
      </c>
      <c r="AZ3" s="7" t="s">
        <v>22</v>
      </c>
      <c r="BA3" s="1" t="s">
        <v>7</v>
      </c>
    </row>
    <row r="4" spans="1:53" x14ac:dyDescent="0.3">
      <c r="A4" s="107">
        <v>12.7</v>
      </c>
      <c r="B4" s="105">
        <v>1</v>
      </c>
      <c r="D4" s="107">
        <v>13.2</v>
      </c>
      <c r="E4" s="105">
        <v>1</v>
      </c>
      <c r="G4" s="101">
        <v>17</v>
      </c>
      <c r="H4" s="105">
        <v>1</v>
      </c>
      <c r="J4" s="107">
        <v>16.7</v>
      </c>
      <c r="K4" s="105">
        <v>1</v>
      </c>
      <c r="M4" s="103">
        <v>28</v>
      </c>
      <c r="N4" s="93">
        <v>6</v>
      </c>
      <c r="P4" s="103">
        <v>26</v>
      </c>
      <c r="Q4" s="94">
        <v>6</v>
      </c>
      <c r="S4" s="104">
        <v>1300</v>
      </c>
      <c r="T4" s="105">
        <v>1</v>
      </c>
      <c r="V4" s="106">
        <v>1200</v>
      </c>
      <c r="W4" s="105">
        <v>1</v>
      </c>
      <c r="Y4" s="106">
        <v>85</v>
      </c>
      <c r="Z4" s="105">
        <v>1</v>
      </c>
      <c r="AB4" s="106">
        <v>75</v>
      </c>
      <c r="AC4" s="105">
        <v>1</v>
      </c>
      <c r="AE4" s="106">
        <v>220</v>
      </c>
      <c r="AF4" s="105">
        <v>1</v>
      </c>
      <c r="AH4" s="106">
        <v>220</v>
      </c>
      <c r="AI4" s="105">
        <v>1</v>
      </c>
      <c r="AK4" s="101">
        <v>6</v>
      </c>
      <c r="AL4" s="105">
        <v>1</v>
      </c>
      <c r="AN4" s="101">
        <v>7</v>
      </c>
      <c r="AO4" s="105">
        <v>1</v>
      </c>
      <c r="AQ4" s="161">
        <v>4</v>
      </c>
      <c r="AR4" s="105">
        <v>1</v>
      </c>
      <c r="AT4" s="161">
        <v>2.5</v>
      </c>
      <c r="AU4" s="105">
        <v>1</v>
      </c>
      <c r="AW4" s="101">
        <v>5.2</v>
      </c>
      <c r="AX4" s="105">
        <v>1</v>
      </c>
      <c r="AZ4" s="101">
        <v>5.2</v>
      </c>
      <c r="BA4" s="105">
        <v>1</v>
      </c>
    </row>
    <row r="5" spans="1:53" x14ac:dyDescent="0.3">
      <c r="A5" s="101">
        <v>12.6</v>
      </c>
      <c r="B5" s="105">
        <v>1.1000000000000001</v>
      </c>
      <c r="D5" s="101">
        <v>13.1</v>
      </c>
      <c r="E5" s="105">
        <v>1.1000000000000001</v>
      </c>
      <c r="G5" s="101">
        <v>16.850000000000001</v>
      </c>
      <c r="H5" s="105">
        <v>1.1000000000000001</v>
      </c>
      <c r="J5" s="107">
        <v>16.61</v>
      </c>
      <c r="K5" s="105">
        <v>1.1000000000000001</v>
      </c>
      <c r="M5" s="103">
        <v>27.5</v>
      </c>
      <c r="N5" s="93">
        <v>5.8</v>
      </c>
      <c r="P5" s="103">
        <v>25.5</v>
      </c>
      <c r="Q5" s="94">
        <v>5.8</v>
      </c>
      <c r="S5" s="106">
        <v>1340</v>
      </c>
      <c r="T5" s="105">
        <v>1.1000000000000001</v>
      </c>
      <c r="V5" s="106">
        <v>1240</v>
      </c>
      <c r="W5" s="105">
        <v>1.1000000000000001</v>
      </c>
      <c r="Y5" s="106">
        <v>86</v>
      </c>
      <c r="Z5" s="105">
        <v>1.1000000000000001</v>
      </c>
      <c r="AB5" s="106">
        <v>76</v>
      </c>
      <c r="AC5" s="105">
        <v>1.1000000000000001</v>
      </c>
      <c r="AE5" s="106">
        <v>225</v>
      </c>
      <c r="AF5" s="105">
        <v>1.1000000000000001</v>
      </c>
      <c r="AH5" s="106">
        <v>224</v>
      </c>
      <c r="AI5" s="105">
        <v>1.1000000000000001</v>
      </c>
      <c r="AK5" s="101">
        <v>6.6</v>
      </c>
      <c r="AL5" s="105">
        <v>1.1000000000000001</v>
      </c>
      <c r="AN5" s="107">
        <v>7.25</v>
      </c>
      <c r="AO5" s="105">
        <v>1.1000000000000001</v>
      </c>
      <c r="AQ5" s="161">
        <v>4.0999999999999996</v>
      </c>
      <c r="AR5" s="105">
        <v>1.1000000000000001</v>
      </c>
      <c r="AT5" s="161">
        <v>2.6</v>
      </c>
      <c r="AU5" s="105">
        <v>1.1000000000000001</v>
      </c>
      <c r="AW5" s="101">
        <v>5.54</v>
      </c>
      <c r="AX5" s="105">
        <v>1.1000000000000001</v>
      </c>
      <c r="AZ5" s="101">
        <v>5.39</v>
      </c>
      <c r="BA5" s="105">
        <v>1.1000000000000001</v>
      </c>
    </row>
    <row r="6" spans="1:53" x14ac:dyDescent="0.3">
      <c r="A6" s="107">
        <v>12.5</v>
      </c>
      <c r="B6" s="105">
        <v>1.2</v>
      </c>
      <c r="D6" s="107">
        <v>13</v>
      </c>
      <c r="E6" s="105">
        <v>1.2</v>
      </c>
      <c r="G6" s="107">
        <v>16.7</v>
      </c>
      <c r="H6" s="105">
        <v>1.2</v>
      </c>
      <c r="J6" s="107">
        <v>16.52</v>
      </c>
      <c r="K6" s="105">
        <v>1.2</v>
      </c>
      <c r="M6" s="103">
        <v>27</v>
      </c>
      <c r="N6" s="93">
        <v>5.5</v>
      </c>
      <c r="P6" s="103">
        <v>25</v>
      </c>
      <c r="Q6" s="94">
        <v>5.5</v>
      </c>
      <c r="S6" s="104">
        <v>1380</v>
      </c>
      <c r="T6" s="105">
        <v>1.2</v>
      </c>
      <c r="V6" s="104">
        <v>1280</v>
      </c>
      <c r="W6" s="105">
        <v>1.2</v>
      </c>
      <c r="Y6" s="106">
        <v>87</v>
      </c>
      <c r="Z6" s="105">
        <v>1.2</v>
      </c>
      <c r="AB6" s="106">
        <v>77</v>
      </c>
      <c r="AC6" s="105">
        <v>1.2</v>
      </c>
      <c r="AE6" s="106">
        <v>230</v>
      </c>
      <c r="AF6" s="105">
        <v>1.2</v>
      </c>
      <c r="AH6" s="106">
        <v>228</v>
      </c>
      <c r="AI6" s="105">
        <v>1.2</v>
      </c>
      <c r="AK6" s="107">
        <v>7.2</v>
      </c>
      <c r="AL6" s="105">
        <v>1.2</v>
      </c>
      <c r="AN6" s="107">
        <v>7.5</v>
      </c>
      <c r="AO6" s="105">
        <v>1.2</v>
      </c>
      <c r="AQ6" s="161">
        <v>4.2</v>
      </c>
      <c r="AR6" s="105">
        <v>1.2</v>
      </c>
      <c r="AT6" s="161">
        <v>2.7</v>
      </c>
      <c r="AU6" s="105">
        <v>1.2</v>
      </c>
      <c r="AW6" s="107">
        <v>5.88</v>
      </c>
      <c r="AX6" s="105">
        <v>1.2</v>
      </c>
      <c r="AZ6" s="107">
        <v>5.58</v>
      </c>
      <c r="BA6" s="105">
        <v>1.2</v>
      </c>
    </row>
    <row r="7" spans="1:53" x14ac:dyDescent="0.3">
      <c r="A7" s="107">
        <v>12.4</v>
      </c>
      <c r="B7" s="105">
        <v>1.3</v>
      </c>
      <c r="D7" s="107">
        <v>12.9</v>
      </c>
      <c r="E7" s="105">
        <v>1.3</v>
      </c>
      <c r="G7" s="101">
        <v>16.55</v>
      </c>
      <c r="H7" s="105">
        <v>1.3</v>
      </c>
      <c r="J7" s="107">
        <v>16.43</v>
      </c>
      <c r="K7" s="105">
        <v>1.3</v>
      </c>
      <c r="M7" s="103">
        <v>26.5</v>
      </c>
      <c r="N7" s="93">
        <v>5.3</v>
      </c>
      <c r="P7" s="103">
        <v>24.5</v>
      </c>
      <c r="Q7" s="94">
        <v>5.3</v>
      </c>
      <c r="S7" s="104">
        <v>1420</v>
      </c>
      <c r="T7" s="105">
        <v>1.3</v>
      </c>
      <c r="V7" s="104">
        <v>1320</v>
      </c>
      <c r="W7" s="105">
        <v>1.3</v>
      </c>
      <c r="Y7" s="106">
        <v>88</v>
      </c>
      <c r="Z7" s="105">
        <v>1.3</v>
      </c>
      <c r="AB7" s="106">
        <v>78</v>
      </c>
      <c r="AC7" s="105">
        <v>1.3</v>
      </c>
      <c r="AE7" s="106">
        <v>235</v>
      </c>
      <c r="AF7" s="105">
        <v>1.3</v>
      </c>
      <c r="AH7" s="106">
        <v>232</v>
      </c>
      <c r="AI7" s="105">
        <v>1.3</v>
      </c>
      <c r="AK7" s="101">
        <v>7.8</v>
      </c>
      <c r="AL7" s="105">
        <v>1.3</v>
      </c>
      <c r="AN7" s="101">
        <v>7.75</v>
      </c>
      <c r="AO7" s="105">
        <v>1.3</v>
      </c>
      <c r="AQ7" s="161">
        <v>4.3</v>
      </c>
      <c r="AR7" s="105">
        <v>1.3</v>
      </c>
      <c r="AT7" s="161">
        <v>2.8</v>
      </c>
      <c r="AU7" s="105">
        <v>1.3</v>
      </c>
      <c r="AW7" s="101">
        <v>6.22</v>
      </c>
      <c r="AX7" s="105">
        <v>1.3</v>
      </c>
      <c r="AZ7" s="101">
        <v>5.77</v>
      </c>
      <c r="BA7" s="105">
        <v>1.3</v>
      </c>
    </row>
    <row r="8" spans="1:53" x14ac:dyDescent="0.3">
      <c r="A8" s="101">
        <v>12.3</v>
      </c>
      <c r="B8" s="105">
        <v>1.4</v>
      </c>
      <c r="D8" s="101">
        <v>12.8</v>
      </c>
      <c r="E8" s="105">
        <v>1.4</v>
      </c>
      <c r="G8" s="101">
        <v>16.399999999999999</v>
      </c>
      <c r="H8" s="105">
        <v>1.4</v>
      </c>
      <c r="J8" s="107">
        <v>16.34</v>
      </c>
      <c r="K8" s="105">
        <v>1.4</v>
      </c>
      <c r="M8" s="103">
        <v>26</v>
      </c>
      <c r="N8" s="93">
        <v>5</v>
      </c>
      <c r="P8" s="103">
        <v>24</v>
      </c>
      <c r="Q8" s="94">
        <v>5</v>
      </c>
      <c r="S8" s="106">
        <v>1460</v>
      </c>
      <c r="T8" s="105">
        <v>1.4</v>
      </c>
      <c r="V8" s="106">
        <v>1360</v>
      </c>
      <c r="W8" s="105">
        <v>1.4</v>
      </c>
      <c r="Y8" s="106">
        <v>89</v>
      </c>
      <c r="Z8" s="105">
        <v>1.4</v>
      </c>
      <c r="AB8" s="106">
        <v>79</v>
      </c>
      <c r="AC8" s="105">
        <v>1.4</v>
      </c>
      <c r="AE8" s="106">
        <v>240</v>
      </c>
      <c r="AF8" s="105">
        <v>1.4</v>
      </c>
      <c r="AH8" s="106">
        <v>236</v>
      </c>
      <c r="AI8" s="105">
        <v>1.4</v>
      </c>
      <c r="AK8" s="101">
        <v>8.4</v>
      </c>
      <c r="AL8" s="105">
        <v>1.4</v>
      </c>
      <c r="AN8" s="107">
        <v>8</v>
      </c>
      <c r="AO8" s="105">
        <v>1.4</v>
      </c>
      <c r="AQ8" s="161">
        <v>4.4000000000000004</v>
      </c>
      <c r="AR8" s="105">
        <v>1.4</v>
      </c>
      <c r="AT8" s="161">
        <v>2.9</v>
      </c>
      <c r="AU8" s="105">
        <v>1.4</v>
      </c>
      <c r="AW8" s="101">
        <v>6.56</v>
      </c>
      <c r="AX8" s="105">
        <v>1.4</v>
      </c>
      <c r="AZ8" s="101">
        <v>5.96</v>
      </c>
      <c r="BA8" s="105">
        <v>1.4</v>
      </c>
    </row>
    <row r="9" spans="1:53" x14ac:dyDescent="0.3">
      <c r="A9" s="107">
        <v>12.2</v>
      </c>
      <c r="B9" s="105">
        <v>1.5</v>
      </c>
      <c r="D9" s="107">
        <v>12.7</v>
      </c>
      <c r="E9" s="105">
        <v>1.5</v>
      </c>
      <c r="G9" s="107">
        <v>16.25</v>
      </c>
      <c r="H9" s="105">
        <v>1.5</v>
      </c>
      <c r="J9" s="107">
        <v>16.25</v>
      </c>
      <c r="K9" s="105">
        <v>1.5</v>
      </c>
      <c r="M9" s="103">
        <v>25.5</v>
      </c>
      <c r="N9" s="93">
        <v>4.9000000000000004</v>
      </c>
      <c r="P9" s="103">
        <v>23.5</v>
      </c>
      <c r="Q9" s="94">
        <v>4.7</v>
      </c>
      <c r="S9" s="104">
        <v>1500</v>
      </c>
      <c r="T9" s="105">
        <v>1.5</v>
      </c>
      <c r="V9" s="106">
        <v>1400</v>
      </c>
      <c r="W9" s="105">
        <v>1.5</v>
      </c>
      <c r="Y9" s="106">
        <v>90</v>
      </c>
      <c r="Z9" s="105">
        <v>1.5</v>
      </c>
      <c r="AB9" s="106">
        <v>80</v>
      </c>
      <c r="AC9" s="105">
        <v>1.5</v>
      </c>
      <c r="AE9" s="106">
        <v>245</v>
      </c>
      <c r="AF9" s="105">
        <v>1.5</v>
      </c>
      <c r="AH9" s="106">
        <v>240</v>
      </c>
      <c r="AI9" s="105">
        <v>1.5</v>
      </c>
      <c r="AK9" s="107">
        <v>9</v>
      </c>
      <c r="AL9" s="105">
        <v>1.5</v>
      </c>
      <c r="AN9" s="107">
        <v>8.25</v>
      </c>
      <c r="AO9" s="105">
        <v>1.5</v>
      </c>
      <c r="AQ9" s="161">
        <v>4.5</v>
      </c>
      <c r="AR9" s="105">
        <v>1.5</v>
      </c>
      <c r="AT9" s="161">
        <v>3</v>
      </c>
      <c r="AU9" s="105">
        <v>1.5</v>
      </c>
      <c r="AW9" s="107">
        <v>6.9</v>
      </c>
      <c r="AX9" s="105">
        <v>1.5</v>
      </c>
      <c r="AZ9" s="107">
        <v>6.15</v>
      </c>
      <c r="BA9" s="105">
        <v>1.5</v>
      </c>
    </row>
    <row r="10" spans="1:53" x14ac:dyDescent="0.3">
      <c r="A10" s="107">
        <v>12.1</v>
      </c>
      <c r="B10" s="105">
        <v>1.6</v>
      </c>
      <c r="D10" s="107">
        <v>12.6</v>
      </c>
      <c r="E10" s="105">
        <v>1.6</v>
      </c>
      <c r="G10" s="101">
        <v>16.100000000000001</v>
      </c>
      <c r="H10" s="105">
        <v>1.6</v>
      </c>
      <c r="J10" s="107">
        <v>16.16</v>
      </c>
      <c r="K10" s="105">
        <v>1.6</v>
      </c>
      <c r="M10" s="103">
        <v>25</v>
      </c>
      <c r="N10" s="93">
        <v>4.7</v>
      </c>
      <c r="P10" s="103">
        <v>23</v>
      </c>
      <c r="Q10" s="94">
        <v>4.3</v>
      </c>
      <c r="S10" s="106">
        <v>1540</v>
      </c>
      <c r="T10" s="105">
        <v>1.6</v>
      </c>
      <c r="V10" s="106">
        <v>1440</v>
      </c>
      <c r="W10" s="105">
        <v>1.6</v>
      </c>
      <c r="Y10" s="106">
        <v>91</v>
      </c>
      <c r="Z10" s="105">
        <v>1.6</v>
      </c>
      <c r="AB10" s="106">
        <v>81</v>
      </c>
      <c r="AC10" s="105">
        <v>1.6</v>
      </c>
      <c r="AE10" s="106">
        <v>250</v>
      </c>
      <c r="AF10" s="105">
        <v>1.6</v>
      </c>
      <c r="AH10" s="106">
        <v>244</v>
      </c>
      <c r="AI10" s="105">
        <v>1.6</v>
      </c>
      <c r="AK10" s="101">
        <v>9.6</v>
      </c>
      <c r="AL10" s="105">
        <v>1.6</v>
      </c>
      <c r="AN10" s="101">
        <v>8.5</v>
      </c>
      <c r="AO10" s="105">
        <v>1.6</v>
      </c>
      <c r="AQ10" s="161">
        <v>4.5999999999999996</v>
      </c>
      <c r="AR10" s="105">
        <v>1.6</v>
      </c>
      <c r="AT10" s="161">
        <v>3.1</v>
      </c>
      <c r="AU10" s="105">
        <v>1.6</v>
      </c>
      <c r="AW10" s="101">
        <v>7.24</v>
      </c>
      <c r="AX10" s="105">
        <v>1.6</v>
      </c>
      <c r="AZ10" s="101">
        <v>6.34</v>
      </c>
      <c r="BA10" s="105">
        <v>1.6</v>
      </c>
    </row>
    <row r="11" spans="1:53" x14ac:dyDescent="0.3">
      <c r="A11" s="101">
        <v>12</v>
      </c>
      <c r="B11" s="105">
        <v>1.7</v>
      </c>
      <c r="D11" s="101">
        <v>12.5</v>
      </c>
      <c r="E11" s="105">
        <v>1.7</v>
      </c>
      <c r="G11" s="101">
        <v>15.95</v>
      </c>
      <c r="H11" s="105">
        <v>1.7</v>
      </c>
      <c r="J11" s="107">
        <v>16.07</v>
      </c>
      <c r="K11" s="105">
        <v>1.7</v>
      </c>
      <c r="M11" s="103">
        <v>24.5</v>
      </c>
      <c r="N11" s="93">
        <v>4.5</v>
      </c>
      <c r="P11" s="103">
        <v>22.5</v>
      </c>
      <c r="Q11" s="94">
        <v>4</v>
      </c>
      <c r="S11" s="104">
        <v>1580</v>
      </c>
      <c r="T11" s="105">
        <v>1.7</v>
      </c>
      <c r="V11" s="104">
        <v>1480</v>
      </c>
      <c r="W11" s="105">
        <v>1.7</v>
      </c>
      <c r="Y11" s="106">
        <v>92</v>
      </c>
      <c r="Z11" s="105">
        <v>1.7</v>
      </c>
      <c r="AB11" s="106">
        <v>82</v>
      </c>
      <c r="AC11" s="105">
        <v>1.7</v>
      </c>
      <c r="AE11" s="106">
        <v>255</v>
      </c>
      <c r="AF11" s="105">
        <v>1.7</v>
      </c>
      <c r="AH11" s="106">
        <v>248</v>
      </c>
      <c r="AI11" s="105">
        <v>1.7</v>
      </c>
      <c r="AK11" s="101">
        <v>10.199999999999999</v>
      </c>
      <c r="AL11" s="105">
        <v>1.7</v>
      </c>
      <c r="AN11" s="107">
        <v>8.75</v>
      </c>
      <c r="AO11" s="105">
        <v>1.7</v>
      </c>
      <c r="AQ11" s="161">
        <v>4.7</v>
      </c>
      <c r="AR11" s="105">
        <v>1.7</v>
      </c>
      <c r="AT11" s="161">
        <v>3.2</v>
      </c>
      <c r="AU11" s="105">
        <v>1.7</v>
      </c>
      <c r="AW11" s="101">
        <v>7.58</v>
      </c>
      <c r="AX11" s="105">
        <v>1.7</v>
      </c>
      <c r="AZ11" s="101">
        <v>6.53</v>
      </c>
      <c r="BA11" s="105">
        <v>1.7</v>
      </c>
    </row>
    <row r="12" spans="1:53" x14ac:dyDescent="0.3">
      <c r="A12" s="107">
        <v>11.9</v>
      </c>
      <c r="B12" s="105">
        <v>1.8</v>
      </c>
      <c r="D12" s="107">
        <v>12.4</v>
      </c>
      <c r="E12" s="105">
        <v>1.8</v>
      </c>
      <c r="G12" s="107">
        <v>15.8</v>
      </c>
      <c r="H12" s="105">
        <v>1.8</v>
      </c>
      <c r="J12" s="107">
        <v>15.98</v>
      </c>
      <c r="K12" s="105">
        <v>1.8</v>
      </c>
      <c r="M12" s="103">
        <v>24</v>
      </c>
      <c r="N12" s="93">
        <v>4.3</v>
      </c>
      <c r="P12" s="103">
        <v>22</v>
      </c>
      <c r="Q12" s="94">
        <v>3.8</v>
      </c>
      <c r="S12" s="104">
        <v>1620</v>
      </c>
      <c r="T12" s="105">
        <v>1.8</v>
      </c>
      <c r="V12" s="104">
        <v>1520</v>
      </c>
      <c r="W12" s="105">
        <v>1.8</v>
      </c>
      <c r="Y12" s="106">
        <v>93</v>
      </c>
      <c r="Z12" s="105">
        <v>1.8</v>
      </c>
      <c r="AB12" s="106">
        <v>83</v>
      </c>
      <c r="AC12" s="105">
        <v>1.8</v>
      </c>
      <c r="AE12" s="106">
        <v>260</v>
      </c>
      <c r="AF12" s="105">
        <v>1.8</v>
      </c>
      <c r="AH12" s="106">
        <v>252</v>
      </c>
      <c r="AI12" s="105">
        <v>1.8</v>
      </c>
      <c r="AK12" s="107">
        <v>10.8</v>
      </c>
      <c r="AL12" s="105">
        <v>1.8</v>
      </c>
      <c r="AN12" s="107">
        <v>9</v>
      </c>
      <c r="AO12" s="105">
        <v>1.8</v>
      </c>
      <c r="AQ12" s="161">
        <v>4.8</v>
      </c>
      <c r="AR12" s="105">
        <v>1.8</v>
      </c>
      <c r="AT12" s="161">
        <v>3.3</v>
      </c>
      <c r="AU12" s="105">
        <v>1.8</v>
      </c>
      <c r="AW12" s="107">
        <v>7.92</v>
      </c>
      <c r="AX12" s="105">
        <v>1.8</v>
      </c>
      <c r="AZ12" s="107">
        <v>6.72</v>
      </c>
      <c r="BA12" s="105">
        <v>1.8</v>
      </c>
    </row>
    <row r="13" spans="1:53" x14ac:dyDescent="0.3">
      <c r="A13" s="107">
        <v>11.8</v>
      </c>
      <c r="B13" s="105">
        <v>1.9</v>
      </c>
      <c r="D13" s="107">
        <v>12.3</v>
      </c>
      <c r="E13" s="105">
        <v>1.9</v>
      </c>
      <c r="G13" s="101">
        <v>15.65</v>
      </c>
      <c r="H13" s="105">
        <v>1.9</v>
      </c>
      <c r="J13" s="107">
        <v>15.89</v>
      </c>
      <c r="K13" s="105">
        <v>1.9</v>
      </c>
      <c r="M13" s="103">
        <v>23.5</v>
      </c>
      <c r="N13" s="93">
        <v>4.2</v>
      </c>
      <c r="P13" s="103">
        <v>21.5</v>
      </c>
      <c r="Q13" s="94">
        <v>3.6</v>
      </c>
      <c r="S13" s="106">
        <v>1660</v>
      </c>
      <c r="T13" s="105">
        <v>1.9</v>
      </c>
      <c r="V13" s="106">
        <v>1560</v>
      </c>
      <c r="W13" s="105">
        <v>1.9</v>
      </c>
      <c r="Y13" s="106">
        <v>94</v>
      </c>
      <c r="Z13" s="105">
        <v>1.9</v>
      </c>
      <c r="AB13" s="106">
        <v>84</v>
      </c>
      <c r="AC13" s="105">
        <v>1.9</v>
      </c>
      <c r="AE13" s="106">
        <v>265</v>
      </c>
      <c r="AF13" s="105">
        <v>1.9</v>
      </c>
      <c r="AH13" s="106">
        <v>256</v>
      </c>
      <c r="AI13" s="105">
        <v>1.9</v>
      </c>
      <c r="AK13" s="101">
        <v>11.4</v>
      </c>
      <c r="AL13" s="105">
        <v>1.9</v>
      </c>
      <c r="AN13" s="101">
        <v>9.25</v>
      </c>
      <c r="AO13" s="105">
        <v>1.9</v>
      </c>
      <c r="AQ13" s="161">
        <v>4.9000000000000004</v>
      </c>
      <c r="AR13" s="105">
        <v>1.9</v>
      </c>
      <c r="AT13" s="161">
        <v>3.4</v>
      </c>
      <c r="AU13" s="105">
        <v>1.9</v>
      </c>
      <c r="AW13" s="101">
        <v>8.26</v>
      </c>
      <c r="AX13" s="105">
        <v>1.9</v>
      </c>
      <c r="AZ13" s="101">
        <v>6.91</v>
      </c>
      <c r="BA13" s="105">
        <v>1.9</v>
      </c>
    </row>
    <row r="14" spans="1:53" x14ac:dyDescent="0.3">
      <c r="A14" s="101">
        <v>11.7</v>
      </c>
      <c r="B14" s="105">
        <v>2</v>
      </c>
      <c r="D14" s="101">
        <v>12.2</v>
      </c>
      <c r="E14" s="105">
        <v>2</v>
      </c>
      <c r="G14" s="101">
        <v>15.5</v>
      </c>
      <c r="H14" s="105">
        <v>2</v>
      </c>
      <c r="J14" s="107">
        <v>15.8</v>
      </c>
      <c r="K14" s="105">
        <v>2</v>
      </c>
      <c r="M14" s="103">
        <v>23</v>
      </c>
      <c r="N14" s="93">
        <v>4</v>
      </c>
      <c r="P14" s="103">
        <v>21</v>
      </c>
      <c r="Q14" s="94">
        <v>3.4</v>
      </c>
      <c r="S14" s="104">
        <v>1700</v>
      </c>
      <c r="T14" s="105">
        <v>2</v>
      </c>
      <c r="V14" s="106">
        <v>1600</v>
      </c>
      <c r="W14" s="105">
        <v>2</v>
      </c>
      <c r="Y14" s="106">
        <v>95</v>
      </c>
      <c r="Z14" s="105">
        <v>2</v>
      </c>
      <c r="AB14" s="106">
        <v>85</v>
      </c>
      <c r="AC14" s="105">
        <v>2</v>
      </c>
      <c r="AE14" s="106">
        <v>270</v>
      </c>
      <c r="AF14" s="105">
        <v>2</v>
      </c>
      <c r="AH14" s="106">
        <v>260</v>
      </c>
      <c r="AI14" s="105">
        <v>2</v>
      </c>
      <c r="AK14" s="101">
        <v>12</v>
      </c>
      <c r="AL14" s="105">
        <v>2</v>
      </c>
      <c r="AN14" s="107">
        <v>9.5</v>
      </c>
      <c r="AO14" s="105">
        <v>2</v>
      </c>
      <c r="AQ14" s="161">
        <v>5</v>
      </c>
      <c r="AR14" s="105">
        <v>2</v>
      </c>
      <c r="AT14" s="161">
        <v>3.5</v>
      </c>
      <c r="AU14" s="105">
        <v>2</v>
      </c>
      <c r="AW14" s="101">
        <v>8.6</v>
      </c>
      <c r="AX14" s="105">
        <v>2</v>
      </c>
      <c r="AZ14" s="101">
        <v>7.1</v>
      </c>
      <c r="BA14" s="105">
        <v>2</v>
      </c>
    </row>
    <row r="15" spans="1:53" x14ac:dyDescent="0.3">
      <c r="A15" s="107">
        <v>11.6</v>
      </c>
      <c r="B15" s="105">
        <v>2.1</v>
      </c>
      <c r="D15" s="107">
        <v>12.1</v>
      </c>
      <c r="E15" s="105">
        <v>2.1</v>
      </c>
      <c r="G15" s="107">
        <v>15.35</v>
      </c>
      <c r="H15" s="105">
        <v>2.1</v>
      </c>
      <c r="J15" s="107">
        <v>15.71</v>
      </c>
      <c r="K15" s="105">
        <v>2.1</v>
      </c>
      <c r="M15" s="103">
        <v>22.5</v>
      </c>
      <c r="N15" s="93">
        <v>3.8</v>
      </c>
      <c r="P15" s="103">
        <v>20.5</v>
      </c>
      <c r="Q15" s="94">
        <v>3.2</v>
      </c>
      <c r="S15" s="106">
        <v>1740</v>
      </c>
      <c r="T15" s="105">
        <v>2.1</v>
      </c>
      <c r="V15" s="106">
        <v>1640</v>
      </c>
      <c r="W15" s="105">
        <v>2.1</v>
      </c>
      <c r="Y15" s="106">
        <v>96</v>
      </c>
      <c r="Z15" s="105">
        <v>2.1</v>
      </c>
      <c r="AB15" s="106">
        <v>86</v>
      </c>
      <c r="AC15" s="105">
        <v>2.1</v>
      </c>
      <c r="AE15" s="106">
        <v>275</v>
      </c>
      <c r="AF15" s="105">
        <v>2.1</v>
      </c>
      <c r="AH15" s="106">
        <v>264</v>
      </c>
      <c r="AI15" s="105">
        <v>2.1</v>
      </c>
      <c r="AK15" s="107">
        <v>12.6</v>
      </c>
      <c r="AL15" s="105">
        <v>2.1</v>
      </c>
      <c r="AN15" s="107">
        <v>9.75</v>
      </c>
      <c r="AO15" s="105">
        <v>2.1</v>
      </c>
      <c r="AQ15" s="161">
        <v>5.0999999999999996</v>
      </c>
      <c r="AR15" s="105">
        <v>2.1</v>
      </c>
      <c r="AT15" s="161">
        <v>3.6</v>
      </c>
      <c r="AU15" s="105">
        <v>2.1</v>
      </c>
      <c r="AW15" s="107">
        <v>8.94</v>
      </c>
      <c r="AX15" s="105">
        <v>2.1</v>
      </c>
      <c r="AZ15" s="107">
        <v>7.29</v>
      </c>
      <c r="BA15" s="105">
        <v>2.1</v>
      </c>
    </row>
    <row r="16" spans="1:53" x14ac:dyDescent="0.3">
      <c r="A16" s="107">
        <v>11.5</v>
      </c>
      <c r="B16" s="105">
        <v>2.2000000000000002</v>
      </c>
      <c r="D16" s="107">
        <v>12</v>
      </c>
      <c r="E16" s="105">
        <v>2.2000000000000002</v>
      </c>
      <c r="G16" s="101">
        <v>15.2</v>
      </c>
      <c r="H16" s="105">
        <v>2.2000000000000002</v>
      </c>
      <c r="J16" s="107">
        <v>15.62</v>
      </c>
      <c r="K16" s="105">
        <v>2.2000000000000002</v>
      </c>
      <c r="M16" s="103">
        <v>22</v>
      </c>
      <c r="N16" s="93">
        <v>3.5</v>
      </c>
      <c r="P16" s="103">
        <v>20</v>
      </c>
      <c r="Q16" s="94">
        <v>3</v>
      </c>
      <c r="S16" s="104">
        <v>1780</v>
      </c>
      <c r="T16" s="105">
        <v>2.2000000000000002</v>
      </c>
      <c r="V16" s="104">
        <v>1680</v>
      </c>
      <c r="W16" s="105">
        <v>2.2000000000000002</v>
      </c>
      <c r="Y16" s="106">
        <v>97</v>
      </c>
      <c r="Z16" s="105">
        <v>2.2000000000000002</v>
      </c>
      <c r="AB16" s="106">
        <v>87</v>
      </c>
      <c r="AC16" s="105">
        <v>2.2000000000000002</v>
      </c>
      <c r="AE16" s="106">
        <v>280</v>
      </c>
      <c r="AF16" s="105">
        <v>2.2000000000000002</v>
      </c>
      <c r="AH16" s="106">
        <v>268</v>
      </c>
      <c r="AI16" s="105">
        <v>2.2000000000000002</v>
      </c>
      <c r="AK16" s="101">
        <v>13.2</v>
      </c>
      <c r="AL16" s="105">
        <v>2.2000000000000002</v>
      </c>
      <c r="AN16" s="101">
        <v>10</v>
      </c>
      <c r="AO16" s="105">
        <v>2.2000000000000002</v>
      </c>
      <c r="AQ16" s="161">
        <v>5.2</v>
      </c>
      <c r="AR16" s="105">
        <v>2.2000000000000002</v>
      </c>
      <c r="AT16" s="161">
        <v>3.7</v>
      </c>
      <c r="AU16" s="105">
        <v>2.2000000000000002</v>
      </c>
      <c r="AW16" s="101">
        <v>9.2799999999999994</v>
      </c>
      <c r="AX16" s="105">
        <v>2.2000000000000002</v>
      </c>
      <c r="AZ16" s="101">
        <v>7.48</v>
      </c>
      <c r="BA16" s="105">
        <v>2.2000000000000002</v>
      </c>
    </row>
    <row r="17" spans="1:53" x14ac:dyDescent="0.3">
      <c r="A17" s="101">
        <v>11.4</v>
      </c>
      <c r="B17" s="105">
        <v>2.2999999999999998</v>
      </c>
      <c r="D17" s="107">
        <v>11.9</v>
      </c>
      <c r="E17" s="105">
        <v>2.2999999999999998</v>
      </c>
      <c r="G17" s="101">
        <v>15.05</v>
      </c>
      <c r="H17" s="105">
        <v>2.2999999999999998</v>
      </c>
      <c r="J17" s="107">
        <v>15.53</v>
      </c>
      <c r="K17" s="105">
        <v>2.2999999999999998</v>
      </c>
      <c r="M17" s="103">
        <v>21.5</v>
      </c>
      <c r="N17" s="93">
        <v>3.3</v>
      </c>
      <c r="P17" s="103">
        <v>19.5</v>
      </c>
      <c r="Q17" s="94">
        <v>2.9</v>
      </c>
      <c r="S17" s="104">
        <v>1820</v>
      </c>
      <c r="T17" s="105">
        <v>2.2999999999999998</v>
      </c>
      <c r="V17" s="104">
        <v>1720</v>
      </c>
      <c r="W17" s="105">
        <v>2.2999999999999998</v>
      </c>
      <c r="Y17" s="106">
        <v>98</v>
      </c>
      <c r="Z17" s="105">
        <v>2.2999999999999998</v>
      </c>
      <c r="AB17" s="106">
        <v>88</v>
      </c>
      <c r="AC17" s="105">
        <v>2.2999999999999998</v>
      </c>
      <c r="AE17" s="106">
        <v>285</v>
      </c>
      <c r="AF17" s="105">
        <v>2.2999999999999998</v>
      </c>
      <c r="AH17" s="106">
        <v>272</v>
      </c>
      <c r="AI17" s="105">
        <v>2.2999999999999998</v>
      </c>
      <c r="AK17" s="101">
        <v>13.8</v>
      </c>
      <c r="AL17" s="105">
        <v>2.2999999999999998</v>
      </c>
      <c r="AN17" s="101">
        <v>10.25</v>
      </c>
      <c r="AO17" s="105">
        <v>2.2999999999999998</v>
      </c>
      <c r="AQ17" s="161">
        <v>5.3</v>
      </c>
      <c r="AR17" s="105">
        <v>2.2999999999999998</v>
      </c>
      <c r="AT17" s="161">
        <v>3.8</v>
      </c>
      <c r="AU17" s="105">
        <v>2.2999999999999998</v>
      </c>
      <c r="AW17" s="101">
        <v>9.6199999999999992</v>
      </c>
      <c r="AX17" s="105">
        <v>2.2999999999999998</v>
      </c>
      <c r="AZ17" s="101">
        <v>7.67</v>
      </c>
      <c r="BA17" s="105">
        <v>2.2999999999999998</v>
      </c>
    </row>
    <row r="18" spans="1:53" x14ac:dyDescent="0.3">
      <c r="A18" s="107">
        <v>11.3</v>
      </c>
      <c r="B18" s="105">
        <v>2.4</v>
      </c>
      <c r="D18" s="107">
        <v>11.8</v>
      </c>
      <c r="E18" s="105">
        <v>2.4</v>
      </c>
      <c r="G18" s="107">
        <v>14.9</v>
      </c>
      <c r="H18" s="105">
        <v>2.4</v>
      </c>
      <c r="J18" s="107">
        <v>15.44</v>
      </c>
      <c r="K18" s="105">
        <v>2.4</v>
      </c>
      <c r="M18" s="103">
        <v>21</v>
      </c>
      <c r="N18" s="93">
        <v>3</v>
      </c>
      <c r="P18" s="103">
        <v>19</v>
      </c>
      <c r="Q18" s="94">
        <v>2.8</v>
      </c>
      <c r="S18" s="106">
        <v>1860</v>
      </c>
      <c r="T18" s="105">
        <v>2.4</v>
      </c>
      <c r="V18" s="106">
        <v>1760</v>
      </c>
      <c r="W18" s="105">
        <v>2.4</v>
      </c>
      <c r="Y18" s="106">
        <v>99</v>
      </c>
      <c r="Z18" s="105">
        <v>2.4</v>
      </c>
      <c r="AB18" s="106">
        <v>89</v>
      </c>
      <c r="AC18" s="105">
        <v>2.4</v>
      </c>
      <c r="AE18" s="106">
        <v>290</v>
      </c>
      <c r="AF18" s="105">
        <v>2.4</v>
      </c>
      <c r="AH18" s="106">
        <v>276</v>
      </c>
      <c r="AI18" s="105">
        <v>2.4</v>
      </c>
      <c r="AK18" s="107">
        <v>14.4</v>
      </c>
      <c r="AL18" s="105">
        <v>2.4</v>
      </c>
      <c r="AN18" s="107">
        <v>10.5</v>
      </c>
      <c r="AO18" s="105">
        <v>2.4</v>
      </c>
      <c r="AQ18" s="161">
        <v>5.4</v>
      </c>
      <c r="AR18" s="105">
        <v>2.4</v>
      </c>
      <c r="AT18" s="161">
        <v>3.9</v>
      </c>
      <c r="AU18" s="105">
        <v>2.4</v>
      </c>
      <c r="AW18" s="107">
        <v>9.9600000000000009</v>
      </c>
      <c r="AX18" s="105">
        <v>2.4</v>
      </c>
      <c r="AZ18" s="107">
        <v>7.86</v>
      </c>
      <c r="BA18" s="105">
        <v>2.4</v>
      </c>
    </row>
    <row r="19" spans="1:53" x14ac:dyDescent="0.3">
      <c r="A19" s="107">
        <v>11.2</v>
      </c>
      <c r="B19" s="105">
        <v>2.5</v>
      </c>
      <c r="D19" s="107">
        <v>11.7</v>
      </c>
      <c r="E19" s="105">
        <v>2.5</v>
      </c>
      <c r="G19" s="101">
        <v>14.75</v>
      </c>
      <c r="H19" s="105">
        <v>2.5</v>
      </c>
      <c r="J19" s="107">
        <v>15.35</v>
      </c>
      <c r="K19" s="105">
        <v>2.5</v>
      </c>
      <c r="M19" s="103">
        <v>20.5</v>
      </c>
      <c r="N19" s="93">
        <v>2.9</v>
      </c>
      <c r="P19" s="103">
        <v>18.5</v>
      </c>
      <c r="Q19" s="94">
        <v>2.6</v>
      </c>
      <c r="S19" s="104">
        <v>1900</v>
      </c>
      <c r="T19" s="105">
        <v>2.5</v>
      </c>
      <c r="V19" s="104">
        <v>1800</v>
      </c>
      <c r="W19" s="105">
        <v>2.5</v>
      </c>
      <c r="Y19" s="106">
        <v>100</v>
      </c>
      <c r="Z19" s="105">
        <v>2.5</v>
      </c>
      <c r="AB19" s="106">
        <v>90</v>
      </c>
      <c r="AC19" s="105">
        <v>2.5</v>
      </c>
      <c r="AE19" s="106">
        <v>295</v>
      </c>
      <c r="AF19" s="105">
        <v>2.5</v>
      </c>
      <c r="AH19" s="106">
        <v>280</v>
      </c>
      <c r="AI19" s="105">
        <v>2.5</v>
      </c>
      <c r="AK19" s="101">
        <v>15</v>
      </c>
      <c r="AL19" s="105">
        <v>2.5</v>
      </c>
      <c r="AN19" s="101">
        <v>10.75</v>
      </c>
      <c r="AO19" s="105">
        <v>2.5</v>
      </c>
      <c r="AQ19" s="161">
        <v>5.5</v>
      </c>
      <c r="AR19" s="105">
        <v>2.5</v>
      </c>
      <c r="AT19" s="161">
        <v>4</v>
      </c>
      <c r="AU19" s="105">
        <v>2.5</v>
      </c>
      <c r="AW19" s="101">
        <v>10.3</v>
      </c>
      <c r="AX19" s="105">
        <v>2.5</v>
      </c>
      <c r="AZ19" s="101">
        <v>8.0500000000000007</v>
      </c>
      <c r="BA19" s="105">
        <v>2.5</v>
      </c>
    </row>
    <row r="20" spans="1:53" x14ac:dyDescent="0.3">
      <c r="A20" s="101">
        <v>11.1</v>
      </c>
      <c r="B20" s="105">
        <v>2.6</v>
      </c>
      <c r="D20" s="107">
        <v>11.6</v>
      </c>
      <c r="E20" s="105">
        <v>2.6</v>
      </c>
      <c r="G20" s="101">
        <v>14.6</v>
      </c>
      <c r="H20" s="105">
        <v>2.6</v>
      </c>
      <c r="J20" s="107">
        <v>15.26</v>
      </c>
      <c r="K20" s="105">
        <v>2.6</v>
      </c>
      <c r="M20" s="103">
        <v>20</v>
      </c>
      <c r="N20" s="93">
        <v>2.8</v>
      </c>
      <c r="P20" s="103">
        <v>18</v>
      </c>
      <c r="Q20" s="94">
        <v>2.5</v>
      </c>
      <c r="S20" s="104">
        <v>1940</v>
      </c>
      <c r="T20" s="105">
        <v>2.6</v>
      </c>
      <c r="V20" s="104">
        <v>1840</v>
      </c>
      <c r="W20" s="105">
        <v>2.6</v>
      </c>
      <c r="Y20" s="106">
        <v>101</v>
      </c>
      <c r="Z20" s="105">
        <v>2.6</v>
      </c>
      <c r="AB20" s="106">
        <v>91</v>
      </c>
      <c r="AC20" s="105">
        <v>2.6</v>
      </c>
      <c r="AE20" s="106">
        <v>300</v>
      </c>
      <c r="AF20" s="105">
        <v>2.6</v>
      </c>
      <c r="AH20" s="106">
        <v>284</v>
      </c>
      <c r="AI20" s="105">
        <v>2.6</v>
      </c>
      <c r="AK20" s="101">
        <v>15.6</v>
      </c>
      <c r="AL20" s="105">
        <v>2.6</v>
      </c>
      <c r="AN20" s="101">
        <v>11</v>
      </c>
      <c r="AO20" s="105">
        <v>2.6</v>
      </c>
      <c r="AQ20" s="161">
        <v>5.6</v>
      </c>
      <c r="AR20" s="105">
        <v>2.6</v>
      </c>
      <c r="AT20" s="161">
        <v>4.0999999999999996</v>
      </c>
      <c r="AU20" s="105">
        <v>2.6</v>
      </c>
      <c r="AW20" s="101">
        <v>10.64</v>
      </c>
      <c r="AX20" s="105">
        <v>2.6</v>
      </c>
      <c r="AZ20" s="101">
        <v>8.24</v>
      </c>
      <c r="BA20" s="105">
        <v>2.6</v>
      </c>
    </row>
    <row r="21" spans="1:53" x14ac:dyDescent="0.3">
      <c r="A21" s="107">
        <v>11</v>
      </c>
      <c r="B21" s="105">
        <v>2.7</v>
      </c>
      <c r="D21" s="107">
        <v>11.5</v>
      </c>
      <c r="E21" s="105">
        <v>2.7</v>
      </c>
      <c r="G21" s="107">
        <v>14.45</v>
      </c>
      <c r="H21" s="105">
        <v>2.7</v>
      </c>
      <c r="J21" s="107">
        <v>15.17</v>
      </c>
      <c r="K21" s="105">
        <v>2.7</v>
      </c>
      <c r="M21" s="103">
        <v>19.5</v>
      </c>
      <c r="N21" s="93">
        <v>2.6</v>
      </c>
      <c r="P21" s="103">
        <v>17.5</v>
      </c>
      <c r="Q21" s="94">
        <v>2.4</v>
      </c>
      <c r="S21" s="106">
        <v>1980</v>
      </c>
      <c r="T21" s="105">
        <v>2.7</v>
      </c>
      <c r="V21" s="106">
        <v>1880</v>
      </c>
      <c r="W21" s="105">
        <v>2.7</v>
      </c>
      <c r="Y21" s="106">
        <v>102</v>
      </c>
      <c r="Z21" s="105">
        <v>2.7</v>
      </c>
      <c r="AB21" s="106">
        <v>92</v>
      </c>
      <c r="AC21" s="105">
        <v>2.7</v>
      </c>
      <c r="AE21" s="106">
        <v>305</v>
      </c>
      <c r="AF21" s="105">
        <v>2.7</v>
      </c>
      <c r="AH21" s="106">
        <v>288</v>
      </c>
      <c r="AI21" s="105">
        <v>2.7</v>
      </c>
      <c r="AK21" s="107">
        <v>16.2</v>
      </c>
      <c r="AL21" s="105">
        <v>2.7</v>
      </c>
      <c r="AN21" s="107">
        <v>11.25</v>
      </c>
      <c r="AO21" s="105">
        <v>2.7</v>
      </c>
      <c r="AQ21" s="161">
        <v>5.7</v>
      </c>
      <c r="AR21" s="105">
        <v>2.7</v>
      </c>
      <c r="AT21" s="161">
        <v>4.2</v>
      </c>
      <c r="AU21" s="105">
        <v>2.7</v>
      </c>
      <c r="AW21" s="107">
        <v>10.98</v>
      </c>
      <c r="AX21" s="105">
        <v>2.7</v>
      </c>
      <c r="AZ21" s="107">
        <v>8.43</v>
      </c>
      <c r="BA21" s="105">
        <v>2.7</v>
      </c>
    </row>
    <row r="22" spans="1:53" x14ac:dyDescent="0.3">
      <c r="A22" s="107">
        <v>10.9</v>
      </c>
      <c r="B22" s="105">
        <v>2.8</v>
      </c>
      <c r="D22" s="107">
        <v>11.4</v>
      </c>
      <c r="E22" s="105">
        <v>2.8</v>
      </c>
      <c r="G22" s="101">
        <v>14.3</v>
      </c>
      <c r="H22" s="105">
        <v>2.8</v>
      </c>
      <c r="J22" s="107">
        <v>15.08</v>
      </c>
      <c r="K22" s="105">
        <v>2.8</v>
      </c>
      <c r="M22" s="103">
        <v>19</v>
      </c>
      <c r="N22" s="93">
        <v>2.5</v>
      </c>
      <c r="P22" s="103">
        <v>17</v>
      </c>
      <c r="Q22" s="94">
        <v>2.2999999999999998</v>
      </c>
      <c r="S22" s="104">
        <v>2020</v>
      </c>
      <c r="T22" s="105">
        <v>2.8</v>
      </c>
      <c r="V22" s="104">
        <v>1920</v>
      </c>
      <c r="W22" s="105">
        <v>2.8</v>
      </c>
      <c r="Y22" s="106">
        <v>103</v>
      </c>
      <c r="Z22" s="105">
        <v>2.8</v>
      </c>
      <c r="AB22" s="106">
        <v>93</v>
      </c>
      <c r="AC22" s="105">
        <v>2.8</v>
      </c>
      <c r="AE22" s="106">
        <v>310</v>
      </c>
      <c r="AF22" s="105">
        <v>2.8</v>
      </c>
      <c r="AH22" s="106">
        <v>292</v>
      </c>
      <c r="AI22" s="105">
        <v>2.8</v>
      </c>
      <c r="AK22" s="101">
        <v>16.8</v>
      </c>
      <c r="AL22" s="105">
        <v>2.8</v>
      </c>
      <c r="AN22" s="101">
        <v>11.5</v>
      </c>
      <c r="AO22" s="105">
        <v>2.8</v>
      </c>
      <c r="AQ22" s="161">
        <v>5.8</v>
      </c>
      <c r="AR22" s="105">
        <v>2.8</v>
      </c>
      <c r="AT22" s="161">
        <v>4.3</v>
      </c>
      <c r="AU22" s="105">
        <v>2.8</v>
      </c>
      <c r="AW22" s="101">
        <v>11.32</v>
      </c>
      <c r="AX22" s="105">
        <v>2.8</v>
      </c>
      <c r="AZ22" s="101">
        <v>8.6199999999999992</v>
      </c>
      <c r="BA22" s="105">
        <v>2.8</v>
      </c>
    </row>
    <row r="23" spans="1:53" x14ac:dyDescent="0.3">
      <c r="A23" s="101">
        <v>10.8</v>
      </c>
      <c r="B23" s="105">
        <v>2.9</v>
      </c>
      <c r="D23" s="107">
        <v>11.3</v>
      </c>
      <c r="E23" s="105">
        <v>2.9</v>
      </c>
      <c r="G23" s="101">
        <v>14.15</v>
      </c>
      <c r="H23" s="105">
        <v>2.9</v>
      </c>
      <c r="J23" s="107">
        <v>14.99</v>
      </c>
      <c r="K23" s="105">
        <v>2.9</v>
      </c>
      <c r="M23" s="103">
        <v>18.5</v>
      </c>
      <c r="N23" s="93">
        <v>2.4</v>
      </c>
      <c r="P23" s="103">
        <v>16.5</v>
      </c>
      <c r="Q23" s="94">
        <v>2.1</v>
      </c>
      <c r="S23" s="104">
        <v>2060</v>
      </c>
      <c r="T23" s="105">
        <v>2.9</v>
      </c>
      <c r="V23" s="104">
        <v>1960</v>
      </c>
      <c r="W23" s="105">
        <v>2.9</v>
      </c>
      <c r="Y23" s="106">
        <v>104</v>
      </c>
      <c r="Z23" s="105">
        <v>2.9</v>
      </c>
      <c r="AB23" s="106">
        <v>94</v>
      </c>
      <c r="AC23" s="105">
        <v>2.9</v>
      </c>
      <c r="AE23" s="106">
        <v>315</v>
      </c>
      <c r="AF23" s="105">
        <v>2.9</v>
      </c>
      <c r="AH23" s="106">
        <v>296</v>
      </c>
      <c r="AI23" s="105">
        <v>2.9</v>
      </c>
      <c r="AK23" s="101">
        <v>17.399999999999999</v>
      </c>
      <c r="AL23" s="105">
        <v>2.9</v>
      </c>
      <c r="AN23" s="101">
        <v>11.75</v>
      </c>
      <c r="AO23" s="105">
        <v>2.9</v>
      </c>
      <c r="AQ23" s="161">
        <v>5.9</v>
      </c>
      <c r="AR23" s="105">
        <v>2.9</v>
      </c>
      <c r="AT23" s="161">
        <v>4.4000000000000004</v>
      </c>
      <c r="AU23" s="105">
        <v>2.9</v>
      </c>
      <c r="AW23" s="101">
        <v>11.66</v>
      </c>
      <c r="AX23" s="105">
        <v>2.9</v>
      </c>
      <c r="AZ23" s="101">
        <v>8.81</v>
      </c>
      <c r="BA23" s="105">
        <v>2.9</v>
      </c>
    </row>
    <row r="24" spans="1:53" x14ac:dyDescent="0.3">
      <c r="A24" s="107">
        <v>10.7</v>
      </c>
      <c r="B24" s="105">
        <v>3</v>
      </c>
      <c r="D24" s="107">
        <v>11.2</v>
      </c>
      <c r="E24" s="105">
        <v>3</v>
      </c>
      <c r="G24" s="78">
        <v>14</v>
      </c>
      <c r="H24" s="105">
        <v>3</v>
      </c>
      <c r="J24" s="107">
        <v>14.9</v>
      </c>
      <c r="K24" s="105">
        <v>3</v>
      </c>
      <c r="M24" s="103">
        <v>18</v>
      </c>
      <c r="N24" s="93">
        <v>2.2999999999999998</v>
      </c>
      <c r="P24" s="103">
        <v>16</v>
      </c>
      <c r="Q24" s="94">
        <v>2</v>
      </c>
      <c r="S24" s="106">
        <v>2100</v>
      </c>
      <c r="T24" s="105">
        <v>3</v>
      </c>
      <c r="V24" s="106">
        <v>2000</v>
      </c>
      <c r="W24" s="105">
        <v>3</v>
      </c>
      <c r="Y24" s="106">
        <v>105</v>
      </c>
      <c r="Z24" s="105">
        <v>3</v>
      </c>
      <c r="AB24" s="106">
        <v>95</v>
      </c>
      <c r="AC24" s="105">
        <v>3</v>
      </c>
      <c r="AE24" s="106">
        <v>320</v>
      </c>
      <c r="AF24" s="105">
        <v>3</v>
      </c>
      <c r="AH24" s="106">
        <v>300</v>
      </c>
      <c r="AI24" s="105">
        <v>3</v>
      </c>
      <c r="AK24" s="107">
        <v>18</v>
      </c>
      <c r="AL24" s="105">
        <v>3</v>
      </c>
      <c r="AN24" s="107">
        <v>12</v>
      </c>
      <c r="AO24" s="105">
        <v>3</v>
      </c>
      <c r="AQ24" s="161">
        <v>6</v>
      </c>
      <c r="AR24" s="105">
        <v>3</v>
      </c>
      <c r="AT24" s="161">
        <v>4.5</v>
      </c>
      <c r="AU24" s="105">
        <v>3</v>
      </c>
      <c r="AW24" s="107">
        <v>12</v>
      </c>
      <c r="AX24" s="105">
        <v>3</v>
      </c>
      <c r="AZ24" s="161">
        <v>9</v>
      </c>
      <c r="BA24" s="105">
        <v>3</v>
      </c>
    </row>
    <row r="25" spans="1:53" x14ac:dyDescent="0.3">
      <c r="A25" s="107">
        <v>10.6</v>
      </c>
      <c r="B25" s="105">
        <v>3.1</v>
      </c>
      <c r="D25" s="107">
        <v>11.1</v>
      </c>
      <c r="E25" s="105">
        <v>3.1</v>
      </c>
      <c r="G25" s="78">
        <v>13.9</v>
      </c>
      <c r="H25" s="105">
        <v>3.1</v>
      </c>
      <c r="J25" s="107">
        <v>14.81</v>
      </c>
      <c r="K25" s="105">
        <v>3.1</v>
      </c>
      <c r="M25" s="103">
        <v>17.5</v>
      </c>
      <c r="N25" s="93">
        <v>2.1</v>
      </c>
      <c r="P25" s="103">
        <v>15.5</v>
      </c>
      <c r="Q25" s="94">
        <v>1.9</v>
      </c>
      <c r="S25" s="106">
        <v>2120</v>
      </c>
      <c r="T25" s="105">
        <v>3.1</v>
      </c>
      <c r="V25" s="106">
        <v>2025</v>
      </c>
      <c r="W25" s="105">
        <v>3.1</v>
      </c>
      <c r="Y25" s="106">
        <v>106</v>
      </c>
      <c r="Z25" s="105">
        <v>3.1</v>
      </c>
      <c r="AB25" s="106">
        <v>96</v>
      </c>
      <c r="AC25" s="105">
        <v>3.1</v>
      </c>
      <c r="AE25" s="106">
        <v>325</v>
      </c>
      <c r="AF25" s="105">
        <v>3.1</v>
      </c>
      <c r="AH25" s="106">
        <v>304</v>
      </c>
      <c r="AI25" s="105">
        <v>3.1</v>
      </c>
      <c r="AK25" s="107">
        <v>19</v>
      </c>
      <c r="AL25" s="105">
        <v>3.1</v>
      </c>
      <c r="AN25" s="107">
        <v>12.55</v>
      </c>
      <c r="AO25" s="105">
        <v>3.1</v>
      </c>
      <c r="AQ25" s="161">
        <v>6.1</v>
      </c>
      <c r="AR25" s="105">
        <v>3.1</v>
      </c>
      <c r="AT25" s="161">
        <v>4.5999999999999996</v>
      </c>
      <c r="AU25" s="105">
        <v>3.1</v>
      </c>
      <c r="AW25" s="107">
        <v>12.5</v>
      </c>
      <c r="AX25" s="105">
        <v>3.1</v>
      </c>
      <c r="AZ25" s="161">
        <v>9.3000000000000007</v>
      </c>
      <c r="BA25" s="105">
        <v>3.1</v>
      </c>
    </row>
    <row r="26" spans="1:53" x14ac:dyDescent="0.3">
      <c r="A26" s="107">
        <v>10.5</v>
      </c>
      <c r="B26" s="105">
        <v>3.2</v>
      </c>
      <c r="D26" s="107">
        <v>11</v>
      </c>
      <c r="E26" s="105">
        <v>3.2</v>
      </c>
      <c r="G26" s="78">
        <v>13.8</v>
      </c>
      <c r="H26" s="105">
        <v>3.2</v>
      </c>
      <c r="J26" s="107">
        <v>14.72</v>
      </c>
      <c r="K26" s="105">
        <v>3.2</v>
      </c>
      <c r="M26" s="103">
        <v>17</v>
      </c>
      <c r="N26" s="93">
        <v>2</v>
      </c>
      <c r="P26" s="103">
        <v>15</v>
      </c>
      <c r="Q26" s="94">
        <v>1.8</v>
      </c>
      <c r="S26" s="106">
        <v>2140</v>
      </c>
      <c r="T26" s="105">
        <v>3.2</v>
      </c>
      <c r="V26" s="106">
        <v>2050</v>
      </c>
      <c r="W26" s="105">
        <v>3.2</v>
      </c>
      <c r="Y26" s="106">
        <v>107</v>
      </c>
      <c r="Z26" s="105">
        <v>3.2</v>
      </c>
      <c r="AB26" s="106">
        <v>97</v>
      </c>
      <c r="AC26" s="105">
        <v>3.2</v>
      </c>
      <c r="AE26" s="106">
        <v>330</v>
      </c>
      <c r="AF26" s="105">
        <v>3.2</v>
      </c>
      <c r="AH26" s="106">
        <v>308</v>
      </c>
      <c r="AI26" s="105">
        <v>3.2</v>
      </c>
      <c r="AK26" s="107">
        <v>20</v>
      </c>
      <c r="AL26" s="105">
        <v>3.2</v>
      </c>
      <c r="AN26" s="107">
        <v>13.1</v>
      </c>
      <c r="AO26" s="105">
        <v>3.2</v>
      </c>
      <c r="AQ26" s="161">
        <v>6.2</v>
      </c>
      <c r="AR26" s="105">
        <v>3.2</v>
      </c>
      <c r="AT26" s="161">
        <v>4.7</v>
      </c>
      <c r="AU26" s="105">
        <v>3.2</v>
      </c>
      <c r="AW26" s="107">
        <v>13</v>
      </c>
      <c r="AX26" s="105">
        <v>3.2</v>
      </c>
      <c r="AZ26" s="161">
        <v>9.6</v>
      </c>
      <c r="BA26" s="105">
        <v>3.2</v>
      </c>
    </row>
    <row r="27" spans="1:53" x14ac:dyDescent="0.3">
      <c r="A27" s="107">
        <v>10.4</v>
      </c>
      <c r="B27" s="105">
        <v>3.3</v>
      </c>
      <c r="D27" s="107">
        <v>10.9</v>
      </c>
      <c r="E27" s="105">
        <v>3.3</v>
      </c>
      <c r="G27" s="78">
        <v>13.7</v>
      </c>
      <c r="H27" s="105">
        <v>3.3</v>
      </c>
      <c r="J27" s="107">
        <v>14.63</v>
      </c>
      <c r="K27" s="105">
        <v>3.3</v>
      </c>
      <c r="M27" s="103">
        <v>16.5</v>
      </c>
      <c r="N27" s="93">
        <v>1.9</v>
      </c>
      <c r="P27" s="103">
        <v>14.5</v>
      </c>
      <c r="Q27" s="94">
        <v>1.6</v>
      </c>
      <c r="S27" s="106">
        <v>2160</v>
      </c>
      <c r="T27" s="105">
        <v>3.3</v>
      </c>
      <c r="V27" s="106">
        <v>2075</v>
      </c>
      <c r="W27" s="105">
        <v>3.3</v>
      </c>
      <c r="Y27" s="106">
        <v>108</v>
      </c>
      <c r="Z27" s="105">
        <v>3.3</v>
      </c>
      <c r="AB27" s="106">
        <v>98</v>
      </c>
      <c r="AC27" s="105">
        <v>3.3</v>
      </c>
      <c r="AE27" s="106">
        <v>335</v>
      </c>
      <c r="AF27" s="105">
        <v>3.3</v>
      </c>
      <c r="AH27" s="106">
        <v>312</v>
      </c>
      <c r="AI27" s="105">
        <v>3.3</v>
      </c>
      <c r="AK27" s="107">
        <v>21</v>
      </c>
      <c r="AL27" s="105">
        <v>3.3</v>
      </c>
      <c r="AN27" s="107">
        <v>13.65</v>
      </c>
      <c r="AO27" s="105">
        <v>3.3</v>
      </c>
      <c r="AQ27" s="161">
        <v>6.3</v>
      </c>
      <c r="AR27" s="105">
        <v>3.3</v>
      </c>
      <c r="AT27" s="161">
        <v>4.8</v>
      </c>
      <c r="AU27" s="105">
        <v>3.3</v>
      </c>
      <c r="AW27" s="107">
        <v>13.5</v>
      </c>
      <c r="AX27" s="105">
        <v>3.3</v>
      </c>
      <c r="AZ27" s="161">
        <v>9.9</v>
      </c>
      <c r="BA27" s="105">
        <v>3.3</v>
      </c>
    </row>
    <row r="28" spans="1:53" x14ac:dyDescent="0.3">
      <c r="A28" s="107">
        <v>10.3</v>
      </c>
      <c r="B28" s="105">
        <v>3.4</v>
      </c>
      <c r="D28" s="107">
        <v>10.8</v>
      </c>
      <c r="E28" s="105">
        <v>3.4</v>
      </c>
      <c r="G28" s="78">
        <v>13.6</v>
      </c>
      <c r="H28" s="105">
        <v>3.4</v>
      </c>
      <c r="J28" s="107">
        <v>14.54</v>
      </c>
      <c r="K28" s="105">
        <v>3.4</v>
      </c>
      <c r="M28" s="103">
        <v>16</v>
      </c>
      <c r="N28" s="93">
        <v>1.8</v>
      </c>
      <c r="P28" s="103">
        <v>14</v>
      </c>
      <c r="Q28" s="94">
        <v>1.5</v>
      </c>
      <c r="S28" s="106">
        <v>2180</v>
      </c>
      <c r="T28" s="105">
        <v>3.4</v>
      </c>
      <c r="V28" s="106">
        <v>2100</v>
      </c>
      <c r="W28" s="105">
        <v>3.4</v>
      </c>
      <c r="Y28" s="106">
        <v>109</v>
      </c>
      <c r="Z28" s="105">
        <v>3.4</v>
      </c>
      <c r="AB28" s="106">
        <v>99</v>
      </c>
      <c r="AC28" s="105">
        <v>3.4</v>
      </c>
      <c r="AE28" s="106">
        <v>340</v>
      </c>
      <c r="AF28" s="105">
        <v>3.4</v>
      </c>
      <c r="AH28" s="106">
        <v>316</v>
      </c>
      <c r="AI28" s="105">
        <v>3.4</v>
      </c>
      <c r="AK28" s="107">
        <v>22</v>
      </c>
      <c r="AL28" s="105">
        <v>3.4</v>
      </c>
      <c r="AN28" s="107">
        <v>14.2</v>
      </c>
      <c r="AO28" s="105">
        <v>3.4</v>
      </c>
      <c r="AQ28" s="161">
        <v>6.4</v>
      </c>
      <c r="AR28" s="105">
        <v>3.4</v>
      </c>
      <c r="AT28" s="161">
        <v>4.9000000000000004</v>
      </c>
      <c r="AU28" s="105">
        <v>3.4</v>
      </c>
      <c r="AW28" s="107">
        <v>14</v>
      </c>
      <c r="AX28" s="105">
        <v>3.4</v>
      </c>
      <c r="AZ28" s="161">
        <v>10.199999999999999</v>
      </c>
      <c r="BA28" s="105">
        <v>3.4</v>
      </c>
    </row>
    <row r="29" spans="1:53" x14ac:dyDescent="0.3">
      <c r="A29" s="107">
        <v>10.199999999999999</v>
      </c>
      <c r="B29" s="105">
        <v>3.5</v>
      </c>
      <c r="D29" s="107">
        <v>10.7</v>
      </c>
      <c r="E29" s="105">
        <v>3.5</v>
      </c>
      <c r="G29" s="78">
        <v>13.5</v>
      </c>
      <c r="H29" s="105">
        <v>3.5</v>
      </c>
      <c r="J29" s="107">
        <v>14.45</v>
      </c>
      <c r="K29" s="105">
        <v>3.5</v>
      </c>
      <c r="M29" s="103">
        <v>15.5</v>
      </c>
      <c r="N29" s="93">
        <v>1.6</v>
      </c>
      <c r="P29" s="103">
        <v>13.5</v>
      </c>
      <c r="Q29" s="94">
        <v>1.4</v>
      </c>
      <c r="S29" s="106">
        <v>2200</v>
      </c>
      <c r="T29" s="105">
        <v>3.5</v>
      </c>
      <c r="V29" s="106">
        <v>2125</v>
      </c>
      <c r="W29" s="105">
        <v>3.5</v>
      </c>
      <c r="Y29" s="106">
        <v>110</v>
      </c>
      <c r="Z29" s="105">
        <v>3.5</v>
      </c>
      <c r="AB29" s="106">
        <v>100</v>
      </c>
      <c r="AC29" s="105">
        <v>3.5</v>
      </c>
      <c r="AE29" s="106">
        <v>345</v>
      </c>
      <c r="AF29" s="105">
        <v>3.5</v>
      </c>
      <c r="AH29" s="106">
        <v>320</v>
      </c>
      <c r="AI29" s="105">
        <v>3.5</v>
      </c>
      <c r="AK29" s="107">
        <v>23</v>
      </c>
      <c r="AL29" s="105">
        <v>3.5</v>
      </c>
      <c r="AN29" s="107">
        <v>14.75</v>
      </c>
      <c r="AO29" s="105">
        <v>3.5</v>
      </c>
      <c r="AQ29" s="161">
        <v>6.5</v>
      </c>
      <c r="AR29" s="105">
        <v>3.5</v>
      </c>
      <c r="AT29" s="161">
        <v>5</v>
      </c>
      <c r="AU29" s="105">
        <v>3.5</v>
      </c>
      <c r="AW29" s="107">
        <v>14.5</v>
      </c>
      <c r="AX29" s="105">
        <v>3.5</v>
      </c>
      <c r="AZ29" s="107">
        <v>10.5</v>
      </c>
      <c r="BA29" s="105">
        <v>3.5</v>
      </c>
    </row>
    <row r="30" spans="1:53" x14ac:dyDescent="0.3">
      <c r="A30" s="107">
        <v>10.1</v>
      </c>
      <c r="B30" s="105">
        <v>3.6</v>
      </c>
      <c r="D30" s="107">
        <v>10.6</v>
      </c>
      <c r="E30" s="105">
        <v>3.6</v>
      </c>
      <c r="G30" s="78">
        <v>13.4</v>
      </c>
      <c r="H30" s="105">
        <v>3.6</v>
      </c>
      <c r="J30" s="107">
        <v>14.36</v>
      </c>
      <c r="K30" s="105">
        <v>3.6</v>
      </c>
      <c r="M30" s="103">
        <v>15</v>
      </c>
      <c r="N30" s="93">
        <v>1.5</v>
      </c>
      <c r="P30" s="103">
        <v>13</v>
      </c>
      <c r="Q30" s="94">
        <v>1.3</v>
      </c>
      <c r="S30" s="106">
        <v>2220</v>
      </c>
      <c r="T30" s="105">
        <v>3.6</v>
      </c>
      <c r="V30" s="106">
        <v>2150</v>
      </c>
      <c r="W30" s="105">
        <v>3.6</v>
      </c>
      <c r="Y30" s="106">
        <v>111</v>
      </c>
      <c r="Z30" s="105">
        <v>3.6</v>
      </c>
      <c r="AB30" s="106">
        <v>101</v>
      </c>
      <c r="AC30" s="105">
        <v>3.6</v>
      </c>
      <c r="AE30" s="106">
        <v>350</v>
      </c>
      <c r="AF30" s="105">
        <v>3.6</v>
      </c>
      <c r="AH30" s="106">
        <v>324</v>
      </c>
      <c r="AI30" s="105">
        <v>3.6</v>
      </c>
      <c r="AK30" s="107">
        <v>24</v>
      </c>
      <c r="AL30" s="105">
        <v>3.6</v>
      </c>
      <c r="AN30" s="107">
        <v>15.3</v>
      </c>
      <c r="AO30" s="105">
        <v>3.6</v>
      </c>
      <c r="AQ30" s="161">
        <v>6.6</v>
      </c>
      <c r="AR30" s="105">
        <v>3.6</v>
      </c>
      <c r="AT30" s="161">
        <v>5.0999999999999996</v>
      </c>
      <c r="AU30" s="105">
        <v>3.6</v>
      </c>
      <c r="AW30" s="107">
        <v>15</v>
      </c>
      <c r="AX30" s="105">
        <v>3.6</v>
      </c>
      <c r="AZ30" s="107">
        <v>10.8</v>
      </c>
      <c r="BA30" s="105">
        <v>3.6</v>
      </c>
    </row>
    <row r="31" spans="1:53" x14ac:dyDescent="0.3">
      <c r="A31" s="107">
        <v>10</v>
      </c>
      <c r="B31" s="105">
        <v>3.7</v>
      </c>
      <c r="D31" s="107">
        <v>10.5</v>
      </c>
      <c r="E31" s="105">
        <v>3.7</v>
      </c>
      <c r="G31" s="78">
        <v>13.3</v>
      </c>
      <c r="H31" s="105">
        <v>3.7</v>
      </c>
      <c r="J31" s="107">
        <v>14.27</v>
      </c>
      <c r="K31" s="105">
        <v>3.7</v>
      </c>
      <c r="M31" s="103">
        <v>14.5</v>
      </c>
      <c r="N31" s="93">
        <v>1.4</v>
      </c>
      <c r="P31" s="103">
        <v>12.5</v>
      </c>
      <c r="Q31" s="94">
        <v>1.1000000000000001</v>
      </c>
      <c r="S31" s="106">
        <v>2240</v>
      </c>
      <c r="T31" s="105">
        <v>3.7</v>
      </c>
      <c r="V31" s="106">
        <v>2175</v>
      </c>
      <c r="W31" s="105">
        <v>3.7</v>
      </c>
      <c r="Y31" s="106">
        <v>112</v>
      </c>
      <c r="Z31" s="105">
        <v>3.7</v>
      </c>
      <c r="AB31" s="106">
        <v>102</v>
      </c>
      <c r="AC31" s="105">
        <v>3.7</v>
      </c>
      <c r="AE31" s="106">
        <v>355</v>
      </c>
      <c r="AF31" s="105">
        <v>3.7</v>
      </c>
      <c r="AH31" s="106">
        <v>328</v>
      </c>
      <c r="AI31" s="105">
        <v>3.7</v>
      </c>
      <c r="AK31" s="107">
        <v>25</v>
      </c>
      <c r="AL31" s="105">
        <v>3.7</v>
      </c>
      <c r="AN31" s="107">
        <v>15.85</v>
      </c>
      <c r="AO31" s="105">
        <v>3.7</v>
      </c>
      <c r="AQ31" s="161">
        <v>6.7</v>
      </c>
      <c r="AR31" s="105">
        <v>3.7</v>
      </c>
      <c r="AT31" s="161">
        <v>5.2</v>
      </c>
      <c r="AU31" s="105">
        <v>3.7</v>
      </c>
      <c r="AW31" s="107">
        <v>15.5</v>
      </c>
      <c r="AX31" s="105">
        <v>3.7</v>
      </c>
      <c r="AZ31" s="107">
        <v>11.1</v>
      </c>
      <c r="BA31" s="105">
        <v>3.7</v>
      </c>
    </row>
    <row r="32" spans="1:53" x14ac:dyDescent="0.3">
      <c r="A32" s="107">
        <v>9.9</v>
      </c>
      <c r="B32" s="105">
        <v>3.8</v>
      </c>
      <c r="D32" s="107">
        <v>10.4</v>
      </c>
      <c r="E32" s="105">
        <v>3.8</v>
      </c>
      <c r="G32" s="78">
        <v>13.2</v>
      </c>
      <c r="H32" s="105">
        <v>3.8</v>
      </c>
      <c r="J32" s="107">
        <v>14.18</v>
      </c>
      <c r="K32" s="105">
        <v>3.8</v>
      </c>
      <c r="M32" s="103">
        <v>14</v>
      </c>
      <c r="N32" s="93">
        <v>1.3</v>
      </c>
      <c r="P32" s="103">
        <v>12</v>
      </c>
      <c r="Q32" s="94">
        <v>1</v>
      </c>
      <c r="S32" s="106">
        <v>2260</v>
      </c>
      <c r="T32" s="105">
        <v>3.8</v>
      </c>
      <c r="V32" s="106">
        <v>2200</v>
      </c>
      <c r="W32" s="105">
        <v>3.8</v>
      </c>
      <c r="Y32" s="106">
        <v>113</v>
      </c>
      <c r="Z32" s="105">
        <v>3.8</v>
      </c>
      <c r="AB32" s="106">
        <v>103</v>
      </c>
      <c r="AC32" s="105">
        <v>3.8</v>
      </c>
      <c r="AE32" s="106">
        <v>360</v>
      </c>
      <c r="AF32" s="105">
        <v>3.8</v>
      </c>
      <c r="AH32" s="106">
        <v>332</v>
      </c>
      <c r="AI32" s="105">
        <v>3.8</v>
      </c>
      <c r="AK32" s="107">
        <v>26</v>
      </c>
      <c r="AL32" s="105">
        <v>3.8</v>
      </c>
      <c r="AN32" s="107">
        <v>16.399999999999999</v>
      </c>
      <c r="AO32" s="105">
        <v>3.8</v>
      </c>
      <c r="AQ32" s="161">
        <v>6.8</v>
      </c>
      <c r="AR32" s="105">
        <v>3.8</v>
      </c>
      <c r="AT32" s="161">
        <v>5.3</v>
      </c>
      <c r="AU32" s="105">
        <v>3.8</v>
      </c>
      <c r="AW32" s="107">
        <v>16</v>
      </c>
      <c r="AX32" s="105">
        <v>3.8</v>
      </c>
      <c r="AZ32" s="107">
        <v>11.4</v>
      </c>
      <c r="BA32" s="105">
        <v>3.8</v>
      </c>
    </row>
    <row r="33" spans="1:53" x14ac:dyDescent="0.3">
      <c r="A33" s="107">
        <v>9.8000000000000007</v>
      </c>
      <c r="B33" s="105">
        <v>3.9</v>
      </c>
      <c r="D33" s="107">
        <v>10.3</v>
      </c>
      <c r="E33" s="105">
        <v>3.9</v>
      </c>
      <c r="G33" s="78">
        <v>13.1</v>
      </c>
      <c r="H33" s="105">
        <v>3.9</v>
      </c>
      <c r="J33" s="107">
        <v>14.09</v>
      </c>
      <c r="K33" s="105">
        <v>3.9</v>
      </c>
      <c r="M33" s="103">
        <v>13.5</v>
      </c>
      <c r="N33" s="93">
        <v>1.1000000000000001</v>
      </c>
      <c r="P33" s="175"/>
      <c r="Q33" s="103"/>
      <c r="S33" s="106">
        <v>2280</v>
      </c>
      <c r="T33" s="105">
        <v>3.9</v>
      </c>
      <c r="V33" s="106">
        <v>2225</v>
      </c>
      <c r="W33" s="105">
        <v>3.9</v>
      </c>
      <c r="Y33" s="106">
        <v>114</v>
      </c>
      <c r="Z33" s="105">
        <v>3.9</v>
      </c>
      <c r="AB33" s="106">
        <v>104</v>
      </c>
      <c r="AC33" s="105">
        <v>3.9</v>
      </c>
      <c r="AE33" s="106">
        <v>365</v>
      </c>
      <c r="AF33" s="105">
        <v>3.9</v>
      </c>
      <c r="AH33" s="106">
        <v>336</v>
      </c>
      <c r="AI33" s="105">
        <v>3.9</v>
      </c>
      <c r="AK33" s="107">
        <v>27</v>
      </c>
      <c r="AL33" s="105">
        <v>3.9</v>
      </c>
      <c r="AN33" s="107">
        <v>16.95</v>
      </c>
      <c r="AO33" s="105">
        <v>3.9</v>
      </c>
      <c r="AQ33" s="107">
        <v>6.9</v>
      </c>
      <c r="AR33" s="105">
        <v>3.9</v>
      </c>
      <c r="AT33" s="161">
        <v>5.4</v>
      </c>
      <c r="AU33" s="105">
        <v>3.9</v>
      </c>
      <c r="AW33" s="107">
        <v>16.5</v>
      </c>
      <c r="AX33" s="105">
        <v>3.9</v>
      </c>
      <c r="AZ33" s="107">
        <v>11.7</v>
      </c>
      <c r="BA33" s="105">
        <v>3.9</v>
      </c>
    </row>
    <row r="34" spans="1:53" x14ac:dyDescent="0.3">
      <c r="A34" s="161">
        <v>9.6999999999999993</v>
      </c>
      <c r="B34" s="105">
        <v>4</v>
      </c>
      <c r="D34" s="161">
        <v>10.199999999999999</v>
      </c>
      <c r="E34" s="105">
        <v>4</v>
      </c>
      <c r="G34" s="78">
        <v>13</v>
      </c>
      <c r="H34" s="105">
        <v>4</v>
      </c>
      <c r="J34" s="107">
        <v>14</v>
      </c>
      <c r="K34" s="105">
        <v>4</v>
      </c>
      <c r="M34" s="103">
        <v>13</v>
      </c>
      <c r="N34" s="93">
        <v>1</v>
      </c>
      <c r="Q34" s="105"/>
      <c r="S34" s="106">
        <v>2300</v>
      </c>
      <c r="T34" s="105">
        <v>4</v>
      </c>
      <c r="V34" s="106">
        <v>2250</v>
      </c>
      <c r="W34" s="105">
        <v>4</v>
      </c>
      <c r="Y34" s="106">
        <v>115</v>
      </c>
      <c r="Z34" s="105">
        <v>4</v>
      </c>
      <c r="AB34" s="106">
        <v>105</v>
      </c>
      <c r="AC34" s="105">
        <v>4</v>
      </c>
      <c r="AE34" s="106">
        <v>370</v>
      </c>
      <c r="AF34" s="105">
        <v>4</v>
      </c>
      <c r="AH34" s="106">
        <v>340</v>
      </c>
      <c r="AI34" s="105">
        <v>4</v>
      </c>
      <c r="AK34" s="107">
        <v>28</v>
      </c>
      <c r="AL34" s="105">
        <v>4</v>
      </c>
      <c r="AN34" s="107">
        <v>17.5</v>
      </c>
      <c r="AO34" s="105">
        <v>4</v>
      </c>
      <c r="AQ34" s="107">
        <v>7</v>
      </c>
      <c r="AR34" s="105">
        <v>4</v>
      </c>
      <c r="AT34" s="161">
        <v>5.5</v>
      </c>
      <c r="AU34" s="105">
        <v>4</v>
      </c>
      <c r="AW34" s="107">
        <v>17</v>
      </c>
      <c r="AX34" s="105">
        <v>4</v>
      </c>
      <c r="AZ34" s="107">
        <v>12</v>
      </c>
      <c r="BA34" s="105">
        <v>4</v>
      </c>
    </row>
    <row r="35" spans="1:53" x14ac:dyDescent="0.3">
      <c r="A35" s="161">
        <v>9.65</v>
      </c>
      <c r="B35" s="105">
        <v>4.0999999999999996</v>
      </c>
      <c r="D35" s="161">
        <v>10.15</v>
      </c>
      <c r="E35" s="105">
        <v>4.0999999999999996</v>
      </c>
      <c r="G35" s="78">
        <v>12.9</v>
      </c>
      <c r="H35" s="105">
        <v>4.0999999999999996</v>
      </c>
      <c r="J35" s="107">
        <v>13.91</v>
      </c>
      <c r="K35" s="105">
        <v>4.0999999999999996</v>
      </c>
      <c r="M35" s="167"/>
      <c r="N35" s="103"/>
      <c r="P35" s="102"/>
      <c r="Q35" s="105"/>
      <c r="S35" s="106">
        <v>2330</v>
      </c>
      <c r="T35" s="105">
        <v>4.0999999999999996</v>
      </c>
      <c r="V35" s="106">
        <v>2265</v>
      </c>
      <c r="W35" s="105">
        <v>4.0999999999999996</v>
      </c>
      <c r="Y35" s="106">
        <v>116</v>
      </c>
      <c r="Z35" s="105">
        <v>4.0999999999999996</v>
      </c>
      <c r="AB35" s="106">
        <v>106</v>
      </c>
      <c r="AC35" s="105">
        <v>4.0999999999999996</v>
      </c>
      <c r="AE35" s="106">
        <v>375</v>
      </c>
      <c r="AF35" s="105">
        <v>4.0999999999999996</v>
      </c>
      <c r="AH35" s="106">
        <v>344</v>
      </c>
      <c r="AI35" s="105">
        <v>4.0999999999999996</v>
      </c>
      <c r="AK35" s="107">
        <v>29</v>
      </c>
      <c r="AL35" s="105">
        <v>4.0999999999999996</v>
      </c>
      <c r="AN35" s="107">
        <v>18.350000000000001</v>
      </c>
      <c r="AO35" s="105">
        <v>4.0999999999999996</v>
      </c>
      <c r="AQ35" s="107">
        <v>7.1</v>
      </c>
      <c r="AR35" s="105">
        <v>4.0999999999999996</v>
      </c>
      <c r="AT35" s="161">
        <v>5.6</v>
      </c>
      <c r="AU35" s="105">
        <v>4.0999999999999996</v>
      </c>
      <c r="AW35" s="107">
        <v>17.600000000000001</v>
      </c>
      <c r="AX35" s="105">
        <v>4.0999999999999996</v>
      </c>
      <c r="AZ35" s="107">
        <v>12.5</v>
      </c>
      <c r="BA35" s="105">
        <v>4.0999999999999996</v>
      </c>
    </row>
    <row r="36" spans="1:53" x14ac:dyDescent="0.3">
      <c r="A36" s="161">
        <v>9.6</v>
      </c>
      <c r="B36" s="105">
        <v>4.2</v>
      </c>
      <c r="D36" s="161">
        <v>10.1</v>
      </c>
      <c r="E36" s="105">
        <v>4.2</v>
      </c>
      <c r="G36" s="78">
        <v>12.8</v>
      </c>
      <c r="H36" s="105">
        <v>4.2</v>
      </c>
      <c r="J36" s="107">
        <v>13.82</v>
      </c>
      <c r="K36" s="105">
        <v>4.2</v>
      </c>
      <c r="N36" s="105"/>
      <c r="P36" s="102"/>
      <c r="Q36" s="105"/>
      <c r="S36" s="106">
        <v>2360</v>
      </c>
      <c r="T36" s="105">
        <v>4.2</v>
      </c>
      <c r="V36" s="106">
        <v>2280</v>
      </c>
      <c r="W36" s="105">
        <v>4.2</v>
      </c>
      <c r="Y36" s="106">
        <v>117</v>
      </c>
      <c r="Z36" s="105">
        <v>4.2</v>
      </c>
      <c r="AB36" s="106">
        <v>107</v>
      </c>
      <c r="AC36" s="105">
        <v>4.2</v>
      </c>
      <c r="AE36" s="106">
        <v>380</v>
      </c>
      <c r="AF36" s="105">
        <v>4.2</v>
      </c>
      <c r="AH36" s="106">
        <v>348</v>
      </c>
      <c r="AI36" s="105">
        <v>4.2</v>
      </c>
      <c r="AK36" s="107">
        <v>30</v>
      </c>
      <c r="AL36" s="105">
        <v>4.2</v>
      </c>
      <c r="AN36" s="107">
        <v>19.2</v>
      </c>
      <c r="AO36" s="105">
        <v>4.2</v>
      </c>
      <c r="AQ36" s="107">
        <v>7.2</v>
      </c>
      <c r="AR36" s="105">
        <v>4.2</v>
      </c>
      <c r="AT36" s="161">
        <v>5.7</v>
      </c>
      <c r="AU36" s="105">
        <v>4.2</v>
      </c>
      <c r="AW36" s="107">
        <v>18.2</v>
      </c>
      <c r="AX36" s="105">
        <v>4.2</v>
      </c>
      <c r="AZ36" s="107">
        <v>13</v>
      </c>
      <c r="BA36" s="105">
        <v>4.2</v>
      </c>
    </row>
    <row r="37" spans="1:53" x14ac:dyDescent="0.3">
      <c r="A37" s="161">
        <v>9.5500000000000007</v>
      </c>
      <c r="B37" s="105">
        <v>4.3</v>
      </c>
      <c r="D37" s="161">
        <v>10.050000000000001</v>
      </c>
      <c r="E37" s="105">
        <v>4.3</v>
      </c>
      <c r="G37" s="78">
        <v>12.7</v>
      </c>
      <c r="H37" s="105">
        <v>4.3</v>
      </c>
      <c r="J37" s="107">
        <v>13.73</v>
      </c>
      <c r="K37" s="105">
        <v>4.3</v>
      </c>
      <c r="M37" s="105"/>
      <c r="N37" s="105"/>
      <c r="P37" s="102"/>
      <c r="Q37" s="105"/>
      <c r="S37" s="106">
        <v>2390</v>
      </c>
      <c r="T37" s="105">
        <v>4.3</v>
      </c>
      <c r="V37" s="106">
        <v>2295</v>
      </c>
      <c r="W37" s="105">
        <v>4.3</v>
      </c>
      <c r="Y37" s="106">
        <v>118</v>
      </c>
      <c r="Z37" s="105">
        <v>4.3</v>
      </c>
      <c r="AB37" s="106">
        <v>108</v>
      </c>
      <c r="AC37" s="105">
        <v>4.3</v>
      </c>
      <c r="AE37" s="106">
        <v>385</v>
      </c>
      <c r="AF37" s="105">
        <v>4.3</v>
      </c>
      <c r="AH37" s="106">
        <v>352</v>
      </c>
      <c r="AI37" s="105">
        <v>4.3</v>
      </c>
      <c r="AK37" s="107">
        <v>31</v>
      </c>
      <c r="AL37" s="105">
        <v>4.3</v>
      </c>
      <c r="AN37" s="107">
        <v>20.05</v>
      </c>
      <c r="AO37" s="105">
        <v>4.3</v>
      </c>
      <c r="AQ37" s="107">
        <v>7.3</v>
      </c>
      <c r="AR37" s="105">
        <v>4.3</v>
      </c>
      <c r="AT37" s="161">
        <v>5.8</v>
      </c>
      <c r="AU37" s="105">
        <v>4.3</v>
      </c>
      <c r="AW37" s="107">
        <v>18.8</v>
      </c>
      <c r="AX37" s="105">
        <v>4.3</v>
      </c>
      <c r="AZ37" s="107">
        <v>13.5</v>
      </c>
      <c r="BA37" s="105">
        <v>4.3</v>
      </c>
    </row>
    <row r="38" spans="1:53" x14ac:dyDescent="0.3">
      <c r="A38" s="161">
        <v>9.5</v>
      </c>
      <c r="B38" s="105">
        <v>4.4000000000000004</v>
      </c>
      <c r="D38" s="161">
        <v>10</v>
      </c>
      <c r="E38" s="105">
        <v>4.4000000000000004</v>
      </c>
      <c r="G38" s="78">
        <v>12.6</v>
      </c>
      <c r="H38" s="105">
        <v>4.4000000000000004</v>
      </c>
      <c r="J38" s="107">
        <v>13.64</v>
      </c>
      <c r="K38" s="105">
        <v>4.4000000000000004</v>
      </c>
      <c r="M38" s="105"/>
      <c r="N38" s="105"/>
      <c r="P38" s="102"/>
      <c r="Q38" s="105"/>
      <c r="S38" s="106">
        <v>2420</v>
      </c>
      <c r="T38" s="105">
        <v>4.4000000000000004</v>
      </c>
      <c r="V38" s="106">
        <v>2310</v>
      </c>
      <c r="W38" s="105">
        <v>4.4000000000000004</v>
      </c>
      <c r="Y38" s="106">
        <v>119</v>
      </c>
      <c r="Z38" s="105">
        <v>4.4000000000000004</v>
      </c>
      <c r="AB38" s="106">
        <v>109</v>
      </c>
      <c r="AC38" s="105">
        <v>4.4000000000000004</v>
      </c>
      <c r="AE38" s="106">
        <v>390</v>
      </c>
      <c r="AF38" s="105">
        <v>4.4000000000000004</v>
      </c>
      <c r="AH38" s="106">
        <v>356</v>
      </c>
      <c r="AI38" s="105">
        <v>4.4000000000000004</v>
      </c>
      <c r="AK38" s="107">
        <v>32</v>
      </c>
      <c r="AL38" s="105">
        <v>4.4000000000000004</v>
      </c>
      <c r="AN38" s="107">
        <v>20.9</v>
      </c>
      <c r="AO38" s="105">
        <v>4.4000000000000004</v>
      </c>
      <c r="AQ38" s="107">
        <v>7.4</v>
      </c>
      <c r="AR38" s="105">
        <v>4.4000000000000004</v>
      </c>
      <c r="AT38" s="161">
        <v>5.9</v>
      </c>
      <c r="AU38" s="105">
        <v>4.4000000000000004</v>
      </c>
      <c r="AW38" s="107">
        <v>19.399999999999999</v>
      </c>
      <c r="AX38" s="105">
        <v>4.4000000000000004</v>
      </c>
      <c r="AZ38" s="107">
        <v>14</v>
      </c>
      <c r="BA38" s="105">
        <v>4.4000000000000004</v>
      </c>
    </row>
    <row r="39" spans="1:53" x14ac:dyDescent="0.3">
      <c r="A39" s="161">
        <v>9.4499999999999993</v>
      </c>
      <c r="B39" s="105">
        <v>4.5</v>
      </c>
      <c r="D39" s="161">
        <v>9.9499999999999993</v>
      </c>
      <c r="E39" s="105">
        <v>4.5</v>
      </c>
      <c r="G39" s="78">
        <v>12.5</v>
      </c>
      <c r="H39" s="105">
        <v>4.5</v>
      </c>
      <c r="J39" s="107">
        <v>13.55</v>
      </c>
      <c r="K39" s="105">
        <v>4.5</v>
      </c>
      <c r="M39" s="102"/>
      <c r="N39" s="105"/>
      <c r="P39" s="102"/>
      <c r="Q39" s="105"/>
      <c r="S39" s="106">
        <v>2450</v>
      </c>
      <c r="T39" s="105">
        <v>4.5</v>
      </c>
      <c r="V39" s="106">
        <v>2325</v>
      </c>
      <c r="W39" s="105">
        <v>4.5</v>
      </c>
      <c r="Y39" s="106">
        <v>120</v>
      </c>
      <c r="Z39" s="105">
        <v>4.5</v>
      </c>
      <c r="AB39" s="106">
        <v>110</v>
      </c>
      <c r="AC39" s="105">
        <v>4.5</v>
      </c>
      <c r="AE39" s="106">
        <v>395</v>
      </c>
      <c r="AF39" s="105">
        <v>4.5</v>
      </c>
      <c r="AH39" s="106">
        <v>360</v>
      </c>
      <c r="AI39" s="105">
        <v>4.5</v>
      </c>
      <c r="AK39" s="107">
        <v>33</v>
      </c>
      <c r="AL39" s="105">
        <v>4.5</v>
      </c>
      <c r="AN39" s="107">
        <v>21.75</v>
      </c>
      <c r="AO39" s="105">
        <v>4.5</v>
      </c>
      <c r="AQ39" s="107">
        <v>7.5</v>
      </c>
      <c r="AR39" s="105">
        <v>4.5</v>
      </c>
      <c r="AT39" s="161">
        <v>6</v>
      </c>
      <c r="AU39" s="105">
        <v>4.5</v>
      </c>
      <c r="AW39" s="107">
        <v>20</v>
      </c>
      <c r="AX39" s="105">
        <v>4.5</v>
      </c>
      <c r="AZ39" s="107">
        <v>14.5</v>
      </c>
      <c r="BA39" s="105">
        <v>4.5</v>
      </c>
    </row>
    <row r="40" spans="1:53" x14ac:dyDescent="0.3">
      <c r="A40" s="161">
        <v>9.4</v>
      </c>
      <c r="B40" s="105">
        <v>4.5999999999999996</v>
      </c>
      <c r="D40" s="161">
        <v>9.9</v>
      </c>
      <c r="E40" s="105">
        <v>4.5999999999999996</v>
      </c>
      <c r="G40" s="78">
        <v>12.4</v>
      </c>
      <c r="H40" s="105">
        <v>4.5999999999999996</v>
      </c>
      <c r="J40" s="107">
        <v>13.46</v>
      </c>
      <c r="K40" s="105">
        <v>4.5999999999999996</v>
      </c>
      <c r="M40" s="105"/>
      <c r="N40" s="105"/>
      <c r="Q40" s="105"/>
      <c r="S40" s="106">
        <v>2480</v>
      </c>
      <c r="T40" s="105">
        <v>4.5999999999999996</v>
      </c>
      <c r="V40" s="106">
        <v>2340</v>
      </c>
      <c r="W40" s="105">
        <v>4.5999999999999996</v>
      </c>
      <c r="Y40" s="106">
        <v>121</v>
      </c>
      <c r="Z40" s="105">
        <v>4.5999999999999996</v>
      </c>
      <c r="AB40" s="106">
        <v>111</v>
      </c>
      <c r="AC40" s="105">
        <v>4.5999999999999996</v>
      </c>
      <c r="AE40" s="106">
        <v>400</v>
      </c>
      <c r="AF40" s="105">
        <v>4.5999999999999996</v>
      </c>
      <c r="AH40" s="106">
        <v>364</v>
      </c>
      <c r="AI40" s="105">
        <v>4.5999999999999996</v>
      </c>
      <c r="AK40" s="107">
        <v>34</v>
      </c>
      <c r="AL40" s="105">
        <v>4.5999999999999996</v>
      </c>
      <c r="AN40" s="107">
        <v>22.6</v>
      </c>
      <c r="AO40" s="105">
        <v>4.5999999999999996</v>
      </c>
      <c r="AQ40" s="107">
        <v>7.6</v>
      </c>
      <c r="AR40" s="105">
        <v>4.5999999999999996</v>
      </c>
      <c r="AT40" s="107">
        <v>6.1</v>
      </c>
      <c r="AU40" s="105">
        <v>4.5999999999999996</v>
      </c>
      <c r="AW40" s="107">
        <v>20.6</v>
      </c>
      <c r="AX40" s="105">
        <v>4.5999999999999996</v>
      </c>
      <c r="AZ40" s="107">
        <v>15</v>
      </c>
      <c r="BA40" s="105">
        <v>4.5999999999999996</v>
      </c>
    </row>
    <row r="41" spans="1:53" x14ac:dyDescent="0.3">
      <c r="A41" s="161">
        <v>9.35</v>
      </c>
      <c r="B41" s="105">
        <v>4.7</v>
      </c>
      <c r="D41" s="161">
        <v>9.85</v>
      </c>
      <c r="E41" s="105">
        <v>4.7</v>
      </c>
      <c r="G41" s="78">
        <v>12.3</v>
      </c>
      <c r="H41" s="105">
        <v>4.7</v>
      </c>
      <c r="J41" s="107">
        <v>13.37</v>
      </c>
      <c r="K41" s="105">
        <v>4.7</v>
      </c>
      <c r="N41" s="105"/>
      <c r="Q41" s="105"/>
      <c r="S41" s="106">
        <v>2510</v>
      </c>
      <c r="T41" s="105">
        <v>4.7</v>
      </c>
      <c r="V41" s="106">
        <v>2355</v>
      </c>
      <c r="W41" s="105">
        <v>4.7</v>
      </c>
      <c r="Y41" s="106">
        <v>122</v>
      </c>
      <c r="Z41" s="105">
        <v>4.7</v>
      </c>
      <c r="AB41" s="106">
        <v>112</v>
      </c>
      <c r="AC41" s="105">
        <v>4.7</v>
      </c>
      <c r="AE41" s="106">
        <v>405</v>
      </c>
      <c r="AF41" s="105">
        <v>4.7</v>
      </c>
      <c r="AH41" s="106">
        <v>368</v>
      </c>
      <c r="AI41" s="105">
        <v>4.7</v>
      </c>
      <c r="AK41" s="107">
        <v>35</v>
      </c>
      <c r="AL41" s="105">
        <v>4.7</v>
      </c>
      <c r="AN41" s="107">
        <v>23.45</v>
      </c>
      <c r="AO41" s="105">
        <v>4.7</v>
      </c>
      <c r="AQ41" s="107">
        <v>7.7</v>
      </c>
      <c r="AR41" s="105">
        <v>4.7</v>
      </c>
      <c r="AT41" s="107">
        <v>6.2</v>
      </c>
      <c r="AU41" s="105">
        <v>4.7</v>
      </c>
      <c r="AW41" s="107">
        <v>21.2</v>
      </c>
      <c r="AX41" s="105">
        <v>4.7</v>
      </c>
      <c r="AZ41" s="107">
        <v>15.5</v>
      </c>
      <c r="BA41" s="105">
        <v>4.7</v>
      </c>
    </row>
    <row r="42" spans="1:53" x14ac:dyDescent="0.3">
      <c r="A42" s="161">
        <v>9.3000000000000007</v>
      </c>
      <c r="B42" s="105">
        <v>4.8</v>
      </c>
      <c r="D42" s="161">
        <v>9.8000000000000007</v>
      </c>
      <c r="E42" s="105">
        <v>4.8</v>
      </c>
      <c r="G42" s="78">
        <v>12.2</v>
      </c>
      <c r="H42" s="105">
        <v>4.8</v>
      </c>
      <c r="J42" s="107">
        <v>13.28</v>
      </c>
      <c r="K42" s="105">
        <v>4.8</v>
      </c>
      <c r="N42" s="105"/>
      <c r="Q42" s="105"/>
      <c r="S42" s="106">
        <v>2540</v>
      </c>
      <c r="T42" s="105">
        <v>4.8</v>
      </c>
      <c r="V42" s="106">
        <v>2370</v>
      </c>
      <c r="W42" s="105">
        <v>4.8</v>
      </c>
      <c r="Y42" s="106">
        <v>123</v>
      </c>
      <c r="Z42" s="105">
        <v>4.8</v>
      </c>
      <c r="AB42" s="106">
        <v>113</v>
      </c>
      <c r="AC42" s="105">
        <v>4.8</v>
      </c>
      <c r="AE42" s="106">
        <v>410</v>
      </c>
      <c r="AF42" s="105">
        <v>4.8</v>
      </c>
      <c r="AH42" s="106">
        <v>372</v>
      </c>
      <c r="AI42" s="105">
        <v>4.8</v>
      </c>
      <c r="AK42" s="107">
        <v>36</v>
      </c>
      <c r="AL42" s="105">
        <v>4.8</v>
      </c>
      <c r="AN42" s="107">
        <v>24.3</v>
      </c>
      <c r="AO42" s="105">
        <v>4.8</v>
      </c>
      <c r="AQ42" s="107">
        <v>7.8</v>
      </c>
      <c r="AR42" s="105">
        <v>4.8</v>
      </c>
      <c r="AT42" s="107">
        <v>6.3</v>
      </c>
      <c r="AU42" s="105">
        <v>4.8</v>
      </c>
      <c r="AW42" s="107">
        <v>21.8</v>
      </c>
      <c r="AX42" s="105">
        <v>4.8</v>
      </c>
      <c r="AZ42" s="107">
        <v>16</v>
      </c>
      <c r="BA42" s="105">
        <v>4.8</v>
      </c>
    </row>
    <row r="43" spans="1:53" x14ac:dyDescent="0.3">
      <c r="A43" s="161">
        <v>9.25</v>
      </c>
      <c r="B43" s="105">
        <v>4.9000000000000004</v>
      </c>
      <c r="D43" s="161">
        <v>9.75</v>
      </c>
      <c r="E43" s="105">
        <v>4.9000000000000004</v>
      </c>
      <c r="G43" s="78">
        <v>12.1</v>
      </c>
      <c r="H43" s="105">
        <v>4.9000000000000004</v>
      </c>
      <c r="J43" s="107">
        <v>13.19</v>
      </c>
      <c r="K43" s="105">
        <v>4.9000000000000004</v>
      </c>
      <c r="N43" s="105"/>
      <c r="Q43" s="105"/>
      <c r="S43" s="106">
        <v>2570</v>
      </c>
      <c r="T43" s="105">
        <v>4.9000000000000004</v>
      </c>
      <c r="V43" s="106">
        <v>2385</v>
      </c>
      <c r="W43" s="105">
        <v>4.9000000000000004</v>
      </c>
      <c r="Y43" s="106">
        <v>124</v>
      </c>
      <c r="Z43" s="105">
        <v>4.9000000000000004</v>
      </c>
      <c r="AB43" s="106">
        <v>114</v>
      </c>
      <c r="AC43" s="105">
        <v>4.9000000000000004</v>
      </c>
      <c r="AE43" s="106">
        <v>415</v>
      </c>
      <c r="AF43" s="105">
        <v>4.9000000000000004</v>
      </c>
      <c r="AH43" s="106">
        <v>376</v>
      </c>
      <c r="AI43" s="105">
        <v>4.9000000000000004</v>
      </c>
      <c r="AK43" s="107">
        <v>37</v>
      </c>
      <c r="AL43" s="105">
        <v>4.9000000000000004</v>
      </c>
      <c r="AN43" s="107">
        <v>25.15</v>
      </c>
      <c r="AO43" s="105">
        <v>4.9000000000000004</v>
      </c>
      <c r="AQ43" s="107">
        <v>7.9</v>
      </c>
      <c r="AR43" s="105">
        <v>4.9000000000000004</v>
      </c>
      <c r="AT43" s="107">
        <v>6.4</v>
      </c>
      <c r="AU43" s="105">
        <v>4.9000000000000004</v>
      </c>
      <c r="AW43" s="107">
        <v>22.4</v>
      </c>
      <c r="AX43" s="105">
        <v>4.9000000000000004</v>
      </c>
      <c r="AZ43" s="107">
        <v>16.5</v>
      </c>
      <c r="BA43" s="105">
        <v>4.9000000000000004</v>
      </c>
    </row>
    <row r="44" spans="1:53" x14ac:dyDescent="0.3">
      <c r="A44" s="161">
        <v>9.1999999999999993</v>
      </c>
      <c r="B44" s="105">
        <v>5</v>
      </c>
      <c r="D44" s="161">
        <v>9.6999999999999993</v>
      </c>
      <c r="E44" s="105">
        <v>5</v>
      </c>
      <c r="G44" s="78">
        <v>12</v>
      </c>
      <c r="H44" s="105">
        <v>5</v>
      </c>
      <c r="J44" s="107">
        <v>13.1</v>
      </c>
      <c r="K44" s="105">
        <v>5</v>
      </c>
      <c r="N44" s="105"/>
      <c r="Q44" s="105"/>
      <c r="S44" s="106">
        <v>2600</v>
      </c>
      <c r="T44" s="105">
        <v>5</v>
      </c>
      <c r="V44" s="106">
        <v>2400</v>
      </c>
      <c r="W44" s="105">
        <v>5</v>
      </c>
      <c r="Y44" s="106">
        <v>125</v>
      </c>
      <c r="Z44" s="105">
        <v>5</v>
      </c>
      <c r="AB44" s="106">
        <v>115</v>
      </c>
      <c r="AC44" s="105">
        <v>5</v>
      </c>
      <c r="AE44" s="106">
        <v>420</v>
      </c>
      <c r="AF44" s="105">
        <v>5</v>
      </c>
      <c r="AH44" s="106">
        <v>380</v>
      </c>
      <c r="AI44" s="105">
        <v>5</v>
      </c>
      <c r="AK44" s="107">
        <v>38</v>
      </c>
      <c r="AL44" s="105">
        <v>5</v>
      </c>
      <c r="AN44" s="107">
        <v>26</v>
      </c>
      <c r="AO44" s="105">
        <v>5</v>
      </c>
      <c r="AQ44" s="107">
        <v>8</v>
      </c>
      <c r="AR44" s="105">
        <v>5</v>
      </c>
      <c r="AT44" s="107">
        <v>6.5</v>
      </c>
      <c r="AU44" s="105">
        <v>5</v>
      </c>
      <c r="AW44" s="107">
        <v>23</v>
      </c>
      <c r="AX44" s="105">
        <v>5</v>
      </c>
      <c r="AZ44" s="107">
        <v>17</v>
      </c>
      <c r="BA44" s="105">
        <v>5</v>
      </c>
    </row>
    <row r="45" spans="1:53" x14ac:dyDescent="0.3">
      <c r="A45" s="161">
        <v>9.15</v>
      </c>
      <c r="B45" s="105">
        <v>5.0999999999999996</v>
      </c>
      <c r="D45" s="161">
        <v>9.65</v>
      </c>
      <c r="E45" s="105">
        <v>5.0999999999999996</v>
      </c>
      <c r="G45" s="78">
        <v>11.95</v>
      </c>
      <c r="H45" s="105">
        <v>5.0999999999999996</v>
      </c>
      <c r="J45" s="107">
        <v>13.01</v>
      </c>
      <c r="K45" s="105">
        <v>5.0999999999999996</v>
      </c>
      <c r="N45" s="105"/>
      <c r="Q45" s="105"/>
      <c r="S45" s="106">
        <v>2620</v>
      </c>
      <c r="T45" s="105">
        <v>5.0999999999999996</v>
      </c>
      <c r="V45" s="106">
        <v>2420</v>
      </c>
      <c r="W45" s="105">
        <v>5.0999999999999996</v>
      </c>
      <c r="Y45" s="106">
        <v>126</v>
      </c>
      <c r="Z45" s="105">
        <v>5.0999999999999996</v>
      </c>
      <c r="AB45" s="106">
        <v>116</v>
      </c>
      <c r="AC45" s="105">
        <v>5.0999999999999996</v>
      </c>
      <c r="AE45" s="106">
        <v>423</v>
      </c>
      <c r="AF45" s="105">
        <v>5.0999999999999996</v>
      </c>
      <c r="AH45" s="106">
        <v>384</v>
      </c>
      <c r="AI45" s="105">
        <v>5.0999999999999996</v>
      </c>
      <c r="AK45" s="107">
        <v>39</v>
      </c>
      <c r="AL45" s="105">
        <v>5.0999999999999996</v>
      </c>
      <c r="AN45" s="107">
        <v>26.9</v>
      </c>
      <c r="AO45" s="105">
        <v>5.0999999999999996</v>
      </c>
      <c r="AQ45" s="107">
        <v>8.1300000000000008</v>
      </c>
      <c r="AR45" s="105">
        <v>5.0999999999999996</v>
      </c>
      <c r="AT45" s="107">
        <v>6.6</v>
      </c>
      <c r="AU45" s="105">
        <v>5.0999999999999996</v>
      </c>
      <c r="AW45" s="107">
        <v>23.3</v>
      </c>
      <c r="AX45" s="105">
        <v>5.0999999999999996</v>
      </c>
      <c r="AZ45" s="107">
        <v>17.600000000000001</v>
      </c>
      <c r="BA45" s="105">
        <v>5.0999999999999996</v>
      </c>
    </row>
    <row r="46" spans="1:53" x14ac:dyDescent="0.3">
      <c r="A46" s="161">
        <v>9.1</v>
      </c>
      <c r="B46" s="105">
        <v>5.2</v>
      </c>
      <c r="D46" s="161">
        <v>9.6</v>
      </c>
      <c r="E46" s="105">
        <v>5.2</v>
      </c>
      <c r="G46" s="107">
        <v>11.9</v>
      </c>
      <c r="H46" s="105">
        <v>5.2</v>
      </c>
      <c r="J46" s="107">
        <v>12.92</v>
      </c>
      <c r="K46" s="105">
        <v>5.2</v>
      </c>
      <c r="N46" s="105"/>
      <c r="Q46" s="105"/>
      <c r="S46" s="106">
        <v>2640</v>
      </c>
      <c r="T46" s="105">
        <v>5.2</v>
      </c>
      <c r="V46" s="106">
        <v>2440</v>
      </c>
      <c r="W46" s="105">
        <v>5.2</v>
      </c>
      <c r="Y46" s="106">
        <v>127</v>
      </c>
      <c r="Z46" s="105">
        <v>5.2</v>
      </c>
      <c r="AB46" s="106">
        <v>117</v>
      </c>
      <c r="AC46" s="105">
        <v>5.2</v>
      </c>
      <c r="AE46" s="106">
        <v>426</v>
      </c>
      <c r="AF46" s="105">
        <v>5.2</v>
      </c>
      <c r="AH46" s="106">
        <v>388</v>
      </c>
      <c r="AI46" s="105">
        <v>5.2</v>
      </c>
      <c r="AK46" s="107">
        <v>40</v>
      </c>
      <c r="AL46" s="105">
        <v>5.2</v>
      </c>
      <c r="AN46" s="107">
        <v>27.8</v>
      </c>
      <c r="AO46" s="105">
        <v>5.2</v>
      </c>
      <c r="AQ46" s="107">
        <v>8.26</v>
      </c>
      <c r="AR46" s="105">
        <v>5.2</v>
      </c>
      <c r="AT46" s="107">
        <v>6.7</v>
      </c>
      <c r="AU46" s="105">
        <v>5.2</v>
      </c>
      <c r="AW46" s="107">
        <v>23.6</v>
      </c>
      <c r="AX46" s="105">
        <v>5.2</v>
      </c>
      <c r="AZ46" s="107">
        <v>18.2</v>
      </c>
      <c r="BA46" s="105">
        <v>5.2</v>
      </c>
    </row>
    <row r="47" spans="1:53" x14ac:dyDescent="0.3">
      <c r="A47" s="107">
        <v>9.0500000000000007</v>
      </c>
      <c r="B47" s="105">
        <v>5.3</v>
      </c>
      <c r="D47" s="161">
        <v>9.5500000000000007</v>
      </c>
      <c r="E47" s="105">
        <v>5.3</v>
      </c>
      <c r="G47" s="107">
        <v>11.85</v>
      </c>
      <c r="H47" s="105">
        <v>5.3</v>
      </c>
      <c r="J47" s="107">
        <v>12.83</v>
      </c>
      <c r="K47" s="105">
        <v>5.3</v>
      </c>
      <c r="N47" s="105"/>
      <c r="Q47" s="105"/>
      <c r="S47" s="106">
        <v>2660</v>
      </c>
      <c r="T47" s="105">
        <v>5.3</v>
      </c>
      <c r="V47" s="106">
        <v>2460</v>
      </c>
      <c r="W47" s="105">
        <v>5.3</v>
      </c>
      <c r="Y47" s="106">
        <v>128</v>
      </c>
      <c r="Z47" s="105">
        <v>5.3</v>
      </c>
      <c r="AB47" s="106">
        <v>118</v>
      </c>
      <c r="AC47" s="105">
        <v>5.3</v>
      </c>
      <c r="AE47" s="106">
        <v>429</v>
      </c>
      <c r="AF47" s="105">
        <v>5.3</v>
      </c>
      <c r="AH47" s="106">
        <v>392</v>
      </c>
      <c r="AI47" s="105">
        <v>5.3</v>
      </c>
      <c r="AK47" s="107">
        <v>41</v>
      </c>
      <c r="AL47" s="105">
        <v>5.3</v>
      </c>
      <c r="AN47" s="107">
        <v>28.7</v>
      </c>
      <c r="AO47" s="105">
        <v>5.3</v>
      </c>
      <c r="AQ47" s="107">
        <v>8.39</v>
      </c>
      <c r="AR47" s="105">
        <v>5.3</v>
      </c>
      <c r="AT47" s="107">
        <v>6.8</v>
      </c>
      <c r="AU47" s="105">
        <v>5.3</v>
      </c>
      <c r="AW47" s="107">
        <v>23.9</v>
      </c>
      <c r="AX47" s="105">
        <v>5.3</v>
      </c>
      <c r="AZ47" s="107">
        <v>18.8</v>
      </c>
      <c r="BA47" s="105">
        <v>5.3</v>
      </c>
    </row>
    <row r="48" spans="1:53" x14ac:dyDescent="0.3">
      <c r="A48" s="107">
        <v>9</v>
      </c>
      <c r="B48" s="105">
        <v>5.4</v>
      </c>
      <c r="D48" s="107">
        <v>9.5</v>
      </c>
      <c r="E48" s="105">
        <v>5.4</v>
      </c>
      <c r="G48" s="107">
        <v>11.8</v>
      </c>
      <c r="H48" s="105">
        <v>5.4</v>
      </c>
      <c r="J48" s="107">
        <v>12.74</v>
      </c>
      <c r="K48" s="105">
        <v>5.4</v>
      </c>
      <c r="N48" s="105"/>
      <c r="Q48" s="105"/>
      <c r="S48" s="106">
        <v>2680</v>
      </c>
      <c r="T48" s="105">
        <v>5.4</v>
      </c>
      <c r="V48" s="106">
        <v>2480</v>
      </c>
      <c r="W48" s="105">
        <v>5.4</v>
      </c>
      <c r="Y48" s="106">
        <v>129</v>
      </c>
      <c r="Z48" s="105">
        <v>5.4</v>
      </c>
      <c r="AB48" s="106">
        <v>119</v>
      </c>
      <c r="AC48" s="105">
        <v>5.4</v>
      </c>
      <c r="AE48" s="106">
        <v>432</v>
      </c>
      <c r="AF48" s="105">
        <v>5.4</v>
      </c>
      <c r="AH48" s="106">
        <v>396</v>
      </c>
      <c r="AI48" s="105">
        <v>5.4</v>
      </c>
      <c r="AK48" s="107">
        <v>42</v>
      </c>
      <c r="AL48" s="105">
        <v>5.4</v>
      </c>
      <c r="AN48" s="107">
        <v>29.6</v>
      </c>
      <c r="AO48" s="105">
        <v>5.4</v>
      </c>
      <c r="AQ48" s="107">
        <v>8.52</v>
      </c>
      <c r="AR48" s="105">
        <v>5.4</v>
      </c>
      <c r="AT48" s="107">
        <v>6.9</v>
      </c>
      <c r="AU48" s="105">
        <v>5.4</v>
      </c>
      <c r="AW48" s="107">
        <v>24.2</v>
      </c>
      <c r="AX48" s="105">
        <v>5.4</v>
      </c>
      <c r="AZ48" s="107">
        <v>19.399999999999999</v>
      </c>
      <c r="BA48" s="105">
        <v>5.4</v>
      </c>
    </row>
    <row r="49" spans="1:53" x14ac:dyDescent="0.3">
      <c r="A49" s="107">
        <v>8.9499999999999993</v>
      </c>
      <c r="B49" s="105">
        <v>5.5</v>
      </c>
      <c r="D49" s="107">
        <v>9.4499999999999993</v>
      </c>
      <c r="E49" s="105">
        <v>5.5</v>
      </c>
      <c r="G49" s="107">
        <v>11.75</v>
      </c>
      <c r="H49" s="105">
        <v>5.5</v>
      </c>
      <c r="J49" s="107">
        <v>12.65</v>
      </c>
      <c r="K49" s="105">
        <v>5.5</v>
      </c>
      <c r="N49" s="105"/>
      <c r="Q49" s="105"/>
      <c r="S49" s="106">
        <v>2700</v>
      </c>
      <c r="T49" s="105">
        <v>5.5</v>
      </c>
      <c r="V49" s="106">
        <v>2500</v>
      </c>
      <c r="W49" s="105">
        <v>5.5</v>
      </c>
      <c r="Y49" s="106">
        <v>130</v>
      </c>
      <c r="Z49" s="105">
        <v>5.5</v>
      </c>
      <c r="AB49" s="106">
        <v>120</v>
      </c>
      <c r="AC49" s="105">
        <v>5.5</v>
      </c>
      <c r="AE49" s="106">
        <v>435</v>
      </c>
      <c r="AF49" s="105">
        <v>5.5</v>
      </c>
      <c r="AH49" s="106">
        <v>400</v>
      </c>
      <c r="AI49" s="105">
        <v>5.5</v>
      </c>
      <c r="AK49" s="107">
        <v>43</v>
      </c>
      <c r="AL49" s="105">
        <v>5.5</v>
      </c>
      <c r="AN49" s="107">
        <v>30.5</v>
      </c>
      <c r="AO49" s="105">
        <v>5.5</v>
      </c>
      <c r="AQ49" s="107">
        <v>8.65</v>
      </c>
      <c r="AR49" s="105">
        <v>5.5</v>
      </c>
      <c r="AT49" s="107">
        <v>7</v>
      </c>
      <c r="AU49" s="105">
        <v>5.5</v>
      </c>
      <c r="AW49" s="107">
        <v>24.5</v>
      </c>
      <c r="AX49" s="105">
        <v>5.5</v>
      </c>
      <c r="AZ49" s="107">
        <v>20</v>
      </c>
      <c r="BA49" s="105">
        <v>5.5</v>
      </c>
    </row>
    <row r="50" spans="1:53" x14ac:dyDescent="0.3">
      <c r="A50" s="107">
        <v>8.9</v>
      </c>
      <c r="B50" s="105">
        <v>5.6</v>
      </c>
      <c r="D50" s="107">
        <v>9.4</v>
      </c>
      <c r="E50" s="105">
        <v>5.6</v>
      </c>
      <c r="G50" s="107">
        <v>11.7</v>
      </c>
      <c r="H50" s="105">
        <v>5.6</v>
      </c>
      <c r="J50" s="107">
        <v>12.56</v>
      </c>
      <c r="K50" s="105">
        <v>5.6</v>
      </c>
      <c r="N50" s="105"/>
      <c r="Q50" s="105"/>
      <c r="S50" s="106">
        <v>2720</v>
      </c>
      <c r="T50" s="105">
        <v>5.6</v>
      </c>
      <c r="V50" s="106">
        <v>2520</v>
      </c>
      <c r="W50" s="105">
        <v>5.6</v>
      </c>
      <c r="Y50" s="106">
        <v>131</v>
      </c>
      <c r="Z50" s="105">
        <v>5.6</v>
      </c>
      <c r="AB50" s="106">
        <v>121</v>
      </c>
      <c r="AC50" s="105">
        <v>5.6</v>
      </c>
      <c r="AE50" s="106">
        <v>438</v>
      </c>
      <c r="AF50" s="105">
        <v>5.6</v>
      </c>
      <c r="AH50" s="106">
        <v>404</v>
      </c>
      <c r="AI50" s="105">
        <v>5.6</v>
      </c>
      <c r="AK50" s="107">
        <v>44</v>
      </c>
      <c r="AL50" s="105">
        <v>5.6</v>
      </c>
      <c r="AN50" s="107">
        <v>31.4</v>
      </c>
      <c r="AO50" s="105">
        <v>5.6</v>
      </c>
      <c r="AQ50" s="107">
        <v>8.77</v>
      </c>
      <c r="AR50" s="105">
        <v>5.6</v>
      </c>
      <c r="AT50" s="107">
        <v>7.1</v>
      </c>
      <c r="AU50" s="105">
        <v>5.6</v>
      </c>
      <c r="AW50" s="107">
        <v>24.8</v>
      </c>
      <c r="AX50" s="105">
        <v>5.6</v>
      </c>
      <c r="AZ50" s="107">
        <v>20.6</v>
      </c>
      <c r="BA50" s="105">
        <v>5.6</v>
      </c>
    </row>
    <row r="51" spans="1:53" x14ac:dyDescent="0.3">
      <c r="A51" s="107">
        <v>8.85</v>
      </c>
      <c r="B51" s="105">
        <v>5.7</v>
      </c>
      <c r="D51" s="107">
        <v>9.35</v>
      </c>
      <c r="E51" s="105">
        <v>5.7</v>
      </c>
      <c r="G51" s="107">
        <v>11.65</v>
      </c>
      <c r="H51" s="105">
        <v>5.7</v>
      </c>
      <c r="J51" s="107">
        <v>12.47</v>
      </c>
      <c r="K51" s="105">
        <v>5.7</v>
      </c>
      <c r="N51" s="105"/>
      <c r="Q51" s="105"/>
      <c r="S51" s="106">
        <v>2740</v>
      </c>
      <c r="T51" s="105">
        <v>5.7</v>
      </c>
      <c r="V51" s="106">
        <v>2540</v>
      </c>
      <c r="W51" s="105">
        <v>5.7</v>
      </c>
      <c r="Y51" s="106">
        <v>132</v>
      </c>
      <c r="Z51" s="105">
        <v>5.7</v>
      </c>
      <c r="AB51" s="106">
        <v>122</v>
      </c>
      <c r="AC51" s="105">
        <v>5.7</v>
      </c>
      <c r="AE51" s="106">
        <v>441</v>
      </c>
      <c r="AF51" s="105">
        <v>5.7</v>
      </c>
      <c r="AH51" s="106">
        <v>408</v>
      </c>
      <c r="AI51" s="105">
        <v>5.7</v>
      </c>
      <c r="AK51" s="107">
        <v>45</v>
      </c>
      <c r="AL51" s="105">
        <v>5.7</v>
      </c>
      <c r="AN51" s="107">
        <v>32.299999999999997</v>
      </c>
      <c r="AO51" s="105">
        <v>5.7</v>
      </c>
      <c r="AQ51" s="107">
        <v>8.89</v>
      </c>
      <c r="AR51" s="105">
        <v>5.7</v>
      </c>
      <c r="AT51" s="107">
        <v>7.2</v>
      </c>
      <c r="AU51" s="105">
        <v>5.7</v>
      </c>
      <c r="AW51" s="107">
        <v>25.1</v>
      </c>
      <c r="AX51" s="105">
        <v>5.7</v>
      </c>
      <c r="AZ51" s="107">
        <v>21.2</v>
      </c>
      <c r="BA51" s="105">
        <v>5.7</v>
      </c>
    </row>
    <row r="52" spans="1:53" x14ac:dyDescent="0.3">
      <c r="A52" s="107">
        <v>8.8000000000000007</v>
      </c>
      <c r="B52" s="105">
        <v>5.8</v>
      </c>
      <c r="D52" s="107">
        <v>9.3000000000000007</v>
      </c>
      <c r="E52" s="105">
        <v>5.8</v>
      </c>
      <c r="G52" s="107">
        <v>11.6</v>
      </c>
      <c r="H52" s="105">
        <v>5.8</v>
      </c>
      <c r="J52" s="107">
        <v>12.38</v>
      </c>
      <c r="K52" s="105">
        <v>5.8</v>
      </c>
      <c r="N52" s="105"/>
      <c r="Q52" s="105"/>
      <c r="S52" s="106">
        <v>2760</v>
      </c>
      <c r="T52" s="105">
        <v>5.8</v>
      </c>
      <c r="V52" s="106">
        <v>2560</v>
      </c>
      <c r="W52" s="105">
        <v>5.8</v>
      </c>
      <c r="Y52" s="106">
        <v>133</v>
      </c>
      <c r="Z52" s="105">
        <v>5.8</v>
      </c>
      <c r="AB52" s="106">
        <v>123</v>
      </c>
      <c r="AC52" s="105">
        <v>5.8</v>
      </c>
      <c r="AE52" s="106">
        <v>444</v>
      </c>
      <c r="AF52" s="105">
        <v>5.8</v>
      </c>
      <c r="AH52" s="106">
        <v>412</v>
      </c>
      <c r="AI52" s="105">
        <v>5.8</v>
      </c>
      <c r="AK52" s="107">
        <v>46</v>
      </c>
      <c r="AL52" s="105">
        <v>5.8</v>
      </c>
      <c r="AN52" s="107">
        <v>33.200000000000003</v>
      </c>
      <c r="AO52" s="105">
        <v>5.8</v>
      </c>
      <c r="AQ52" s="107">
        <v>9.01</v>
      </c>
      <c r="AR52" s="105">
        <v>5.8</v>
      </c>
      <c r="AT52" s="107">
        <v>7.3</v>
      </c>
      <c r="AU52" s="105">
        <v>5.8</v>
      </c>
      <c r="AW52" s="107">
        <v>25.4</v>
      </c>
      <c r="AX52" s="105">
        <v>5.8</v>
      </c>
      <c r="AZ52" s="107">
        <v>21.8</v>
      </c>
      <c r="BA52" s="105">
        <v>5.8</v>
      </c>
    </row>
    <row r="53" spans="1:53" x14ac:dyDescent="0.3">
      <c r="A53" s="107">
        <v>8.75</v>
      </c>
      <c r="B53" s="105">
        <v>5.9</v>
      </c>
      <c r="D53" s="107">
        <v>9.25</v>
      </c>
      <c r="E53" s="105">
        <v>5.9</v>
      </c>
      <c r="G53" s="107">
        <v>11.55</v>
      </c>
      <c r="H53" s="105">
        <v>5.9</v>
      </c>
      <c r="J53" s="107">
        <v>12.29</v>
      </c>
      <c r="K53" s="105">
        <v>5.9</v>
      </c>
      <c r="N53" s="105"/>
      <c r="Q53" s="105"/>
      <c r="S53" s="106">
        <v>2780</v>
      </c>
      <c r="T53" s="105">
        <v>5.9</v>
      </c>
      <c r="V53" s="106">
        <v>2580</v>
      </c>
      <c r="W53" s="105">
        <v>5.9</v>
      </c>
      <c r="Y53" s="106">
        <v>134</v>
      </c>
      <c r="Z53" s="105">
        <v>5.9</v>
      </c>
      <c r="AB53" s="106">
        <v>124</v>
      </c>
      <c r="AC53" s="105">
        <v>5.9</v>
      </c>
      <c r="AE53" s="106">
        <v>447</v>
      </c>
      <c r="AF53" s="105">
        <v>5.9</v>
      </c>
      <c r="AH53" s="106">
        <v>416</v>
      </c>
      <c r="AI53" s="105">
        <v>5.9</v>
      </c>
      <c r="AK53" s="107">
        <v>47</v>
      </c>
      <c r="AL53" s="105">
        <v>5.9</v>
      </c>
      <c r="AN53" s="107">
        <v>34.1</v>
      </c>
      <c r="AO53" s="105">
        <v>5.9</v>
      </c>
      <c r="AQ53" s="107">
        <v>9.1300000000000008</v>
      </c>
      <c r="AR53" s="105">
        <v>5.9</v>
      </c>
      <c r="AT53" s="107">
        <v>7.4</v>
      </c>
      <c r="AU53" s="105">
        <v>5.9</v>
      </c>
      <c r="AW53" s="107">
        <v>25.7</v>
      </c>
      <c r="AX53" s="105">
        <v>5.9</v>
      </c>
      <c r="AZ53" s="107">
        <v>22.4</v>
      </c>
      <c r="BA53" s="105">
        <v>5.9</v>
      </c>
    </row>
    <row r="54" spans="1:53" x14ac:dyDescent="0.3">
      <c r="A54" s="107">
        <v>8.6999999999999993</v>
      </c>
      <c r="B54" s="105">
        <v>6</v>
      </c>
      <c r="D54" s="107">
        <v>9.1999999999999993</v>
      </c>
      <c r="E54" s="105">
        <v>6</v>
      </c>
      <c r="G54" s="107">
        <v>11.5</v>
      </c>
      <c r="H54" s="105">
        <v>6</v>
      </c>
      <c r="J54" s="107">
        <v>12.2</v>
      </c>
      <c r="K54" s="105">
        <v>6</v>
      </c>
      <c r="N54" s="105"/>
      <c r="Q54" s="105"/>
      <c r="S54" s="106">
        <v>2800</v>
      </c>
      <c r="T54" s="105">
        <v>6</v>
      </c>
      <c r="V54" s="106">
        <v>2600</v>
      </c>
      <c r="W54" s="105">
        <v>6</v>
      </c>
      <c r="Y54" s="106">
        <v>135</v>
      </c>
      <c r="Z54" s="105">
        <v>6</v>
      </c>
      <c r="AB54" s="106">
        <v>125</v>
      </c>
      <c r="AC54" s="105">
        <v>6</v>
      </c>
      <c r="AE54" s="106">
        <v>450</v>
      </c>
      <c r="AF54" s="105">
        <v>6</v>
      </c>
      <c r="AH54" s="106">
        <v>420</v>
      </c>
      <c r="AI54" s="105">
        <v>6</v>
      </c>
      <c r="AK54" s="107">
        <v>48</v>
      </c>
      <c r="AL54" s="105">
        <v>6</v>
      </c>
      <c r="AN54" s="107">
        <v>35</v>
      </c>
      <c r="AO54" s="105">
        <v>6</v>
      </c>
      <c r="AQ54" s="107">
        <v>9.25</v>
      </c>
      <c r="AR54" s="105">
        <v>6</v>
      </c>
      <c r="AT54" s="107">
        <v>7.5</v>
      </c>
      <c r="AU54" s="105">
        <v>6</v>
      </c>
      <c r="AW54" s="107">
        <v>26</v>
      </c>
      <c r="AX54" s="105">
        <v>6</v>
      </c>
      <c r="AZ54" s="107">
        <v>23</v>
      </c>
      <c r="BA54" s="105">
        <v>6</v>
      </c>
    </row>
    <row r="55" spans="1:53" x14ac:dyDescent="0.3">
      <c r="A55" s="166"/>
      <c r="B55" s="102"/>
      <c r="D55" s="166"/>
      <c r="E55" s="102"/>
      <c r="G55" s="166"/>
      <c r="H55" s="102"/>
      <c r="J55" s="166"/>
      <c r="K55" s="102"/>
      <c r="N55" s="102"/>
      <c r="Q55" s="102"/>
      <c r="S55" s="176"/>
      <c r="T55" s="102"/>
      <c r="V55" s="176"/>
      <c r="W55" s="102"/>
      <c r="Y55" s="168"/>
      <c r="Z55" s="102"/>
      <c r="AB55" s="168"/>
      <c r="AC55" s="102"/>
      <c r="AE55" s="168"/>
      <c r="AF55" s="102"/>
      <c r="AH55" s="168"/>
      <c r="AI55" s="102"/>
      <c r="AK55" s="168"/>
      <c r="AL55" s="102"/>
      <c r="AN55" s="168"/>
      <c r="AO55" s="102"/>
      <c r="AQ55" s="168"/>
      <c r="AR55" s="102"/>
      <c r="AT55" s="168"/>
      <c r="AU55" s="102"/>
      <c r="AW55" s="168"/>
      <c r="AX55" s="102"/>
      <c r="AZ55" s="168"/>
      <c r="BA55" s="102"/>
    </row>
    <row r="56" spans="1:53" x14ac:dyDescent="0.3">
      <c r="B56" s="102"/>
      <c r="E56" s="102"/>
      <c r="H56" s="102"/>
      <c r="K56" s="102"/>
      <c r="T56" s="102"/>
      <c r="W56" s="102"/>
    </row>
  </sheetData>
  <mergeCells count="18">
    <mergeCell ref="AT2:AU2"/>
    <mergeCell ref="AW2:AX2"/>
    <mergeCell ref="AZ2:BA2"/>
    <mergeCell ref="A2:B2"/>
    <mergeCell ref="D2:E2"/>
    <mergeCell ref="AK2:AL2"/>
    <mergeCell ref="AN2:AO2"/>
    <mergeCell ref="AQ2:AR2"/>
    <mergeCell ref="V2:W2"/>
    <mergeCell ref="Y2:Z2"/>
    <mergeCell ref="AB2:AC2"/>
    <mergeCell ref="AE2:AF2"/>
    <mergeCell ref="AH2:AI2"/>
    <mergeCell ref="G2:H2"/>
    <mergeCell ref="J2:K2"/>
    <mergeCell ref="M2:N2"/>
    <mergeCell ref="P2:Q2"/>
    <mergeCell ref="S2:T2"/>
  </mergeCells>
  <pageMargins left="0.7" right="0.7" top="0.78740157499999996" bottom="0.78740157499999996" header="0.3" footer="0.3"/>
  <pageSetup paperSize="9" orientation="portrait" horizontalDpi="4294967295" verticalDpi="4294967295"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AC31"/>
  <sheetViews>
    <sheetView zoomScale="90" zoomScaleNormal="9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7" width="11.6640625" style="10" customWidth="1"/>
    <col min="8" max="8" width="11.5546875" style="10"/>
    <col min="9" max="9" width="1.109375" style="10" customWidth="1"/>
    <col min="10" max="10" width="11.6640625" style="10" customWidth="1"/>
    <col min="11" max="11" width="11.5546875" style="10"/>
    <col min="12" max="12" width="11.5546875" style="10" customWidth="1"/>
    <col min="13" max="13" width="11.5546875" style="10"/>
    <col min="14" max="14" width="11.5546875" style="10" customWidth="1"/>
    <col min="15" max="16" width="11.5546875" style="10"/>
    <col min="17" max="17" width="11.5546875" style="10" customWidth="1"/>
    <col min="18" max="19" width="11.5546875" style="10"/>
    <col min="20" max="21" width="11.5546875" style="10" customWidth="1"/>
    <col min="22" max="22" width="11.5546875" style="10"/>
    <col min="23" max="23" width="11.5546875" style="10" customWidth="1"/>
    <col min="24" max="25" width="11.5546875" style="10"/>
    <col min="26" max="26" width="11.5546875" style="10" customWidth="1"/>
    <col min="27" max="16384" width="11.5546875" style="10"/>
  </cols>
  <sheetData>
    <row r="1" spans="1:29" s="11" customFormat="1" x14ac:dyDescent="0.3">
      <c r="A1" s="4" t="str">
        <f>INDEX(StdGruppe[StdGruppe],5)</f>
        <v>Geräteturnen</v>
      </c>
      <c r="G1" s="4" t="str">
        <f>INDEX(StdDisziplinen[StdDisziplin],16)</f>
        <v>Parkour</v>
      </c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s="11" customFormat="1" x14ac:dyDescent="0.3">
      <c r="A2" s="584" t="str">
        <f>INDEX(StdSkala[StdSkalaText],3)</f>
        <v>Knaben K1</v>
      </c>
      <c r="B2" s="584"/>
      <c r="C2" s="99"/>
      <c r="D2" s="584" t="str">
        <f>INDEX(StdSkala[StdSkalaText],1)</f>
        <v>Mädchen M1</v>
      </c>
      <c r="E2" s="584"/>
      <c r="G2" s="585" t="str">
        <f>$A$2</f>
        <v>Knaben K1</v>
      </c>
      <c r="H2" s="585"/>
      <c r="I2" s="240"/>
      <c r="J2" s="585" t="str">
        <f>$D$2</f>
        <v>Mädchen M1</v>
      </c>
      <c r="K2" s="585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x14ac:dyDescent="0.3">
      <c r="A3" s="108" t="s">
        <v>22</v>
      </c>
      <c r="B3" s="108" t="s">
        <v>7</v>
      </c>
      <c r="D3" s="108" t="s">
        <v>22</v>
      </c>
      <c r="E3" s="108" t="s">
        <v>7</v>
      </c>
      <c r="G3" s="108" t="s">
        <v>22</v>
      </c>
      <c r="H3" s="108" t="s">
        <v>7</v>
      </c>
      <c r="J3" s="108" t="s">
        <v>22</v>
      </c>
      <c r="K3" s="108" t="s">
        <v>7</v>
      </c>
    </row>
    <row r="4" spans="1:29" x14ac:dyDescent="0.3">
      <c r="A4" s="111">
        <v>0</v>
      </c>
      <c r="B4" s="109">
        <v>1</v>
      </c>
      <c r="D4" s="111">
        <v>0</v>
      </c>
      <c r="E4" s="109">
        <v>1</v>
      </c>
      <c r="G4" s="112">
        <v>0</v>
      </c>
      <c r="H4" s="113">
        <v>1</v>
      </c>
      <c r="J4" s="112">
        <v>0</v>
      </c>
      <c r="K4" s="113">
        <v>1</v>
      </c>
    </row>
    <row r="5" spans="1:29" x14ac:dyDescent="0.3">
      <c r="A5" s="111">
        <v>3</v>
      </c>
      <c r="B5" s="109">
        <v>1.25</v>
      </c>
      <c r="D5" s="111">
        <v>3</v>
      </c>
      <c r="E5" s="109">
        <v>1.25</v>
      </c>
      <c r="G5" s="111">
        <v>1</v>
      </c>
      <c r="H5" s="113">
        <v>1.2</v>
      </c>
      <c r="J5" s="111">
        <v>1</v>
      </c>
      <c r="K5" s="113">
        <v>1.2</v>
      </c>
    </row>
    <row r="6" spans="1:29" x14ac:dyDescent="0.3">
      <c r="A6" s="111">
        <v>6</v>
      </c>
      <c r="B6" s="109">
        <v>1.5</v>
      </c>
      <c r="D6" s="111">
        <v>6</v>
      </c>
      <c r="E6" s="109">
        <v>1.5</v>
      </c>
      <c r="G6" s="111">
        <v>2</v>
      </c>
      <c r="H6" s="113">
        <v>1.4</v>
      </c>
      <c r="J6" s="111">
        <v>2</v>
      </c>
      <c r="K6" s="113">
        <v>1.4</v>
      </c>
    </row>
    <row r="7" spans="1:29" x14ac:dyDescent="0.3">
      <c r="A7" s="111">
        <v>9</v>
      </c>
      <c r="B7" s="109">
        <v>1.75</v>
      </c>
      <c r="D7" s="111">
        <v>9</v>
      </c>
      <c r="E7" s="109">
        <v>1.75</v>
      </c>
      <c r="G7" s="111">
        <v>3</v>
      </c>
      <c r="H7" s="114">
        <v>1.6</v>
      </c>
      <c r="J7" s="111">
        <v>3</v>
      </c>
      <c r="K7" s="114">
        <v>1.6</v>
      </c>
    </row>
    <row r="8" spans="1:29" x14ac:dyDescent="0.3">
      <c r="A8" s="111">
        <v>12</v>
      </c>
      <c r="B8" s="109">
        <v>2</v>
      </c>
      <c r="D8" s="111">
        <v>12</v>
      </c>
      <c r="E8" s="109">
        <v>2</v>
      </c>
      <c r="G8" s="111">
        <v>4</v>
      </c>
      <c r="H8" s="113">
        <v>1.8</v>
      </c>
      <c r="J8" s="111">
        <v>4</v>
      </c>
      <c r="K8" s="113">
        <v>1.8</v>
      </c>
    </row>
    <row r="9" spans="1:29" x14ac:dyDescent="0.3">
      <c r="A9" s="111">
        <v>14</v>
      </c>
      <c r="B9" s="109">
        <v>2.25</v>
      </c>
      <c r="D9" s="111">
        <v>14</v>
      </c>
      <c r="E9" s="109">
        <v>2.25</v>
      </c>
      <c r="G9" s="111">
        <v>5</v>
      </c>
      <c r="H9" s="113">
        <v>2</v>
      </c>
      <c r="J9" s="111">
        <v>5</v>
      </c>
      <c r="K9" s="113">
        <v>2</v>
      </c>
    </row>
    <row r="10" spans="1:29" x14ac:dyDescent="0.3">
      <c r="A10" s="111">
        <v>17</v>
      </c>
      <c r="B10" s="109">
        <v>2.5</v>
      </c>
      <c r="D10" s="111">
        <v>17</v>
      </c>
      <c r="E10" s="109">
        <v>2.5</v>
      </c>
      <c r="G10" s="111">
        <v>6</v>
      </c>
      <c r="H10" s="114">
        <v>2.2000000000000002</v>
      </c>
      <c r="J10" s="111">
        <v>6</v>
      </c>
      <c r="K10" s="114">
        <v>2.2000000000000002</v>
      </c>
    </row>
    <row r="11" spans="1:29" x14ac:dyDescent="0.3">
      <c r="A11" s="111">
        <v>20</v>
      </c>
      <c r="B11" s="109">
        <v>2.75</v>
      </c>
      <c r="D11" s="111">
        <v>20</v>
      </c>
      <c r="E11" s="109">
        <v>2.75</v>
      </c>
      <c r="G11" s="111">
        <v>7</v>
      </c>
      <c r="H11" s="113">
        <v>2.4</v>
      </c>
      <c r="J11" s="111">
        <v>7</v>
      </c>
      <c r="K11" s="113">
        <v>2.4</v>
      </c>
    </row>
    <row r="12" spans="1:29" x14ac:dyDescent="0.3">
      <c r="A12" s="111">
        <v>23</v>
      </c>
      <c r="B12" s="109">
        <v>3</v>
      </c>
      <c r="D12" s="111">
        <v>23</v>
      </c>
      <c r="E12" s="109">
        <v>3</v>
      </c>
      <c r="G12" s="111">
        <v>8</v>
      </c>
      <c r="H12" s="113">
        <v>2.6</v>
      </c>
      <c r="J12" s="111">
        <v>8</v>
      </c>
      <c r="K12" s="113">
        <v>2.6</v>
      </c>
    </row>
    <row r="13" spans="1:29" x14ac:dyDescent="0.3">
      <c r="A13" s="111">
        <v>26</v>
      </c>
      <c r="B13" s="109">
        <v>3.25</v>
      </c>
      <c r="D13" s="111">
        <v>26</v>
      </c>
      <c r="E13" s="109">
        <v>3.25</v>
      </c>
      <c r="G13" s="111">
        <v>9</v>
      </c>
      <c r="H13" s="114">
        <v>2.8</v>
      </c>
      <c r="J13" s="111">
        <v>9</v>
      </c>
      <c r="K13" s="114">
        <v>2.8</v>
      </c>
    </row>
    <row r="14" spans="1:29" x14ac:dyDescent="0.3">
      <c r="A14" s="111">
        <v>28</v>
      </c>
      <c r="B14" s="109">
        <v>3.5</v>
      </c>
      <c r="D14" s="111">
        <v>28</v>
      </c>
      <c r="E14" s="109">
        <v>3.5</v>
      </c>
      <c r="G14" s="111">
        <v>10</v>
      </c>
      <c r="H14" s="113">
        <v>3</v>
      </c>
      <c r="J14" s="111">
        <v>10</v>
      </c>
      <c r="K14" s="113">
        <v>3</v>
      </c>
    </row>
    <row r="15" spans="1:29" x14ac:dyDescent="0.3">
      <c r="A15" s="111">
        <v>31</v>
      </c>
      <c r="B15" s="109">
        <v>3.75</v>
      </c>
      <c r="D15" s="111">
        <v>31</v>
      </c>
      <c r="E15" s="109">
        <v>3.75</v>
      </c>
      <c r="G15" s="111">
        <v>11</v>
      </c>
      <c r="H15" s="113">
        <v>3.2</v>
      </c>
      <c r="J15" s="111">
        <v>11</v>
      </c>
      <c r="K15" s="113">
        <v>3.2</v>
      </c>
    </row>
    <row r="16" spans="1:29" x14ac:dyDescent="0.3">
      <c r="A16" s="111">
        <v>34</v>
      </c>
      <c r="B16" s="109">
        <v>4</v>
      </c>
      <c r="D16" s="111">
        <v>34</v>
      </c>
      <c r="E16" s="109">
        <v>4</v>
      </c>
      <c r="G16" s="111">
        <v>12</v>
      </c>
      <c r="H16" s="114">
        <v>3.4</v>
      </c>
      <c r="J16" s="111">
        <v>12</v>
      </c>
      <c r="K16" s="114">
        <v>3.4</v>
      </c>
    </row>
    <row r="17" spans="1:11" x14ac:dyDescent="0.3">
      <c r="A17" s="111">
        <v>37</v>
      </c>
      <c r="B17" s="109">
        <v>4.25</v>
      </c>
      <c r="D17" s="111">
        <v>37</v>
      </c>
      <c r="E17" s="109">
        <v>4.25</v>
      </c>
      <c r="G17" s="111">
        <v>13</v>
      </c>
      <c r="H17" s="113">
        <v>3.6</v>
      </c>
      <c r="J17" s="111">
        <v>13</v>
      </c>
      <c r="K17" s="113">
        <v>3.6</v>
      </c>
    </row>
    <row r="18" spans="1:11" x14ac:dyDescent="0.3">
      <c r="A18" s="111">
        <v>40</v>
      </c>
      <c r="B18" s="109">
        <v>4.5</v>
      </c>
      <c r="D18" s="111">
        <v>40</v>
      </c>
      <c r="E18" s="109">
        <v>4.5</v>
      </c>
      <c r="G18" s="111">
        <v>14</v>
      </c>
      <c r="H18" s="113">
        <v>3.8</v>
      </c>
      <c r="J18" s="111">
        <v>14</v>
      </c>
      <c r="K18" s="113">
        <v>3.8</v>
      </c>
    </row>
    <row r="19" spans="1:11" x14ac:dyDescent="0.3">
      <c r="A19" s="111">
        <v>42</v>
      </c>
      <c r="B19" s="109">
        <v>4.75</v>
      </c>
      <c r="D19" s="111">
        <v>42</v>
      </c>
      <c r="E19" s="109">
        <v>4.75</v>
      </c>
      <c r="G19" s="111">
        <v>15</v>
      </c>
      <c r="H19" s="114">
        <v>4</v>
      </c>
      <c r="J19" s="111">
        <v>15</v>
      </c>
      <c r="K19" s="114">
        <v>4</v>
      </c>
    </row>
    <row r="20" spans="1:11" x14ac:dyDescent="0.3">
      <c r="A20" s="111">
        <v>45</v>
      </c>
      <c r="B20" s="109">
        <v>5</v>
      </c>
      <c r="D20" s="111">
        <v>45</v>
      </c>
      <c r="E20" s="109">
        <v>5</v>
      </c>
      <c r="G20" s="111">
        <v>16</v>
      </c>
      <c r="H20" s="113">
        <v>4.2</v>
      </c>
      <c r="J20" s="111">
        <v>16</v>
      </c>
      <c r="K20" s="113">
        <v>4.2</v>
      </c>
    </row>
    <row r="21" spans="1:11" x14ac:dyDescent="0.3">
      <c r="A21" s="111">
        <v>48</v>
      </c>
      <c r="B21" s="109">
        <v>5.25</v>
      </c>
      <c r="D21" s="111">
        <v>48</v>
      </c>
      <c r="E21" s="109">
        <v>5.25</v>
      </c>
      <c r="G21" s="111">
        <v>17</v>
      </c>
      <c r="H21" s="113">
        <v>4.4000000000000004</v>
      </c>
      <c r="J21" s="111">
        <v>17</v>
      </c>
      <c r="K21" s="113">
        <v>4.4000000000000004</v>
      </c>
    </row>
    <row r="22" spans="1:11" x14ac:dyDescent="0.3">
      <c r="A22" s="111">
        <v>51</v>
      </c>
      <c r="B22" s="109">
        <v>5.5</v>
      </c>
      <c r="D22" s="111">
        <v>51</v>
      </c>
      <c r="E22" s="109">
        <v>5.5</v>
      </c>
      <c r="G22" s="111">
        <v>18</v>
      </c>
      <c r="H22" s="114">
        <v>4.5999999999999996</v>
      </c>
      <c r="J22" s="111">
        <v>18</v>
      </c>
      <c r="K22" s="114">
        <v>4.5999999999999996</v>
      </c>
    </row>
    <row r="23" spans="1:11" x14ac:dyDescent="0.3">
      <c r="A23" s="111">
        <v>54</v>
      </c>
      <c r="B23" s="109">
        <v>5.75</v>
      </c>
      <c r="D23" s="111">
        <v>54</v>
      </c>
      <c r="E23" s="109">
        <v>5.75</v>
      </c>
      <c r="G23" s="111">
        <v>19</v>
      </c>
      <c r="H23" s="113">
        <v>4.8</v>
      </c>
      <c r="J23" s="111">
        <v>19</v>
      </c>
      <c r="K23" s="113">
        <v>4.8</v>
      </c>
    </row>
    <row r="24" spans="1:11" x14ac:dyDescent="0.3">
      <c r="A24" s="111">
        <v>56</v>
      </c>
      <c r="B24" s="109">
        <v>6</v>
      </c>
      <c r="D24" s="111">
        <v>56</v>
      </c>
      <c r="E24" s="109">
        <v>6</v>
      </c>
      <c r="G24" s="111">
        <v>20</v>
      </c>
      <c r="H24" s="113">
        <v>5</v>
      </c>
      <c r="J24" s="111">
        <v>20</v>
      </c>
      <c r="K24" s="113">
        <v>5</v>
      </c>
    </row>
    <row r="25" spans="1:11" x14ac:dyDescent="0.3">
      <c r="A25" s="168"/>
      <c r="B25" s="110"/>
      <c r="D25" s="168"/>
      <c r="E25" s="110"/>
      <c r="G25" s="111">
        <v>21</v>
      </c>
      <c r="H25" s="114">
        <v>5.2</v>
      </c>
      <c r="J25" s="111">
        <v>21</v>
      </c>
      <c r="K25" s="114">
        <v>5.2</v>
      </c>
    </row>
    <row r="26" spans="1:11" x14ac:dyDescent="0.3">
      <c r="G26" s="111">
        <v>22</v>
      </c>
      <c r="H26" s="113">
        <v>5.4</v>
      </c>
      <c r="J26" s="111">
        <v>22</v>
      </c>
      <c r="K26" s="113">
        <v>5.4</v>
      </c>
    </row>
    <row r="27" spans="1:11" x14ac:dyDescent="0.3">
      <c r="G27" s="111">
        <v>23</v>
      </c>
      <c r="H27" s="113">
        <v>5.6</v>
      </c>
      <c r="J27" s="111">
        <v>23</v>
      </c>
      <c r="K27" s="113">
        <v>5.6</v>
      </c>
    </row>
    <row r="28" spans="1:11" x14ac:dyDescent="0.3">
      <c r="G28" s="111">
        <v>24</v>
      </c>
      <c r="H28" s="114">
        <v>5.8</v>
      </c>
      <c r="J28" s="111">
        <v>24</v>
      </c>
      <c r="K28" s="114">
        <v>5.8</v>
      </c>
    </row>
    <row r="29" spans="1:11" x14ac:dyDescent="0.3">
      <c r="G29" s="111">
        <v>25</v>
      </c>
      <c r="H29" s="113">
        <v>6</v>
      </c>
      <c r="J29" s="111">
        <v>25</v>
      </c>
      <c r="K29" s="113">
        <v>6</v>
      </c>
    </row>
    <row r="30" spans="1:11" x14ac:dyDescent="0.3">
      <c r="G30" s="273">
        <v>26</v>
      </c>
      <c r="H30" s="113">
        <v>6</v>
      </c>
      <c r="J30" s="273">
        <v>26</v>
      </c>
      <c r="K30" s="113">
        <v>6</v>
      </c>
    </row>
    <row r="31" spans="1:11" x14ac:dyDescent="0.3">
      <c r="G31" s="168"/>
      <c r="H31" s="113"/>
      <c r="J31" s="168"/>
      <c r="K31" s="113"/>
    </row>
  </sheetData>
  <mergeCells count="4">
    <mergeCell ref="A2:B2"/>
    <mergeCell ref="D2:E2"/>
    <mergeCell ref="G2:H2"/>
    <mergeCell ref="J2:K2"/>
  </mergeCells>
  <conditionalFormatting sqref="B4:B24">
    <cfRule type="expression" dxfId="637" priority="3">
      <formula>RIGHT(TEXT($B4,"#.00"),2)="00"</formula>
    </cfRule>
    <cfRule type="expression" dxfId="636" priority="4">
      <formula>RIGHT(TEXT($B4,"#.00"),2)="50"</formula>
    </cfRule>
  </conditionalFormatting>
  <conditionalFormatting sqref="E4:E24">
    <cfRule type="expression" dxfId="635" priority="1">
      <formula>RIGHT(TEXT($E4,"#.00"),2)="00"</formula>
    </cfRule>
    <cfRule type="expression" dxfId="634" priority="2">
      <formula>RIGHT(TEXT($E4,"#.00"),2)="50"</formula>
    </cfRule>
  </conditionalFormatting>
  <pageMargins left="0.7" right="0.7" top="0.78740157499999996" bottom="0.78740157499999996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/>
  <dimension ref="A1:AC31"/>
  <sheetViews>
    <sheetView zoomScale="90" zoomScaleNormal="9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7" width="11.6640625" style="10" customWidth="1"/>
    <col min="8" max="8" width="11.5546875" style="10"/>
    <col min="9" max="9" width="1.109375" style="10" customWidth="1"/>
    <col min="10" max="10" width="11.6640625" style="10" customWidth="1"/>
    <col min="11" max="11" width="11.5546875" style="10"/>
    <col min="12" max="12" width="11.5546875" style="10" customWidth="1"/>
    <col min="13" max="13" width="11.5546875" style="10"/>
    <col min="14" max="14" width="11.5546875" style="10" customWidth="1"/>
    <col min="15" max="16" width="11.5546875" style="10"/>
    <col min="17" max="17" width="11.5546875" style="10" customWidth="1"/>
    <col min="18" max="19" width="11.5546875" style="10"/>
    <col min="20" max="21" width="11.5546875" style="10" customWidth="1"/>
    <col min="22" max="22" width="11.5546875" style="10"/>
    <col min="23" max="23" width="11.5546875" style="10" customWidth="1"/>
    <col min="24" max="25" width="11.5546875" style="10"/>
    <col min="26" max="26" width="11.5546875" style="10" customWidth="1"/>
    <col min="27" max="16384" width="11.5546875" style="10"/>
  </cols>
  <sheetData>
    <row r="1" spans="1:29" s="11" customFormat="1" x14ac:dyDescent="0.3">
      <c r="A1" s="4" t="str">
        <f>INDEX(StdGruppe[StdGruppe],5)</f>
        <v>Geräteturnen</v>
      </c>
      <c r="G1" s="4" t="str">
        <f>INDEX(StdDisziplinen[StdDisziplin],16)</f>
        <v>Parkour</v>
      </c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s="11" customFormat="1" x14ac:dyDescent="0.3">
      <c r="A2" s="584" t="str">
        <f>INDEX(StdSkala[StdSkalaText],4)</f>
        <v>Knaben K2</v>
      </c>
      <c r="B2" s="584"/>
      <c r="C2" s="99"/>
      <c r="D2" s="584" t="str">
        <f>INDEX(StdSkala[StdSkalaText],2)</f>
        <v>Mädchen M2</v>
      </c>
      <c r="E2" s="584"/>
      <c r="G2" s="585" t="str">
        <f>$A$2</f>
        <v>Knaben K2</v>
      </c>
      <c r="H2" s="585"/>
      <c r="I2" s="240"/>
      <c r="J2" s="585" t="str">
        <f>$D$2</f>
        <v>Mädchen M2</v>
      </c>
      <c r="K2" s="585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x14ac:dyDescent="0.3">
      <c r="A3" s="108" t="s">
        <v>22</v>
      </c>
      <c r="B3" s="108" t="s">
        <v>7</v>
      </c>
      <c r="D3" s="108" t="s">
        <v>22</v>
      </c>
      <c r="E3" s="108" t="s">
        <v>7</v>
      </c>
      <c r="G3" s="108" t="s">
        <v>22</v>
      </c>
      <c r="H3" s="108" t="s">
        <v>7</v>
      </c>
      <c r="J3" s="108" t="s">
        <v>22</v>
      </c>
      <c r="K3" s="108" t="s">
        <v>7</v>
      </c>
    </row>
    <row r="4" spans="1:29" x14ac:dyDescent="0.3">
      <c r="A4" s="111">
        <v>0</v>
      </c>
      <c r="B4" s="109">
        <v>1</v>
      </c>
      <c r="D4" s="111">
        <v>0</v>
      </c>
      <c r="E4" s="109">
        <v>1</v>
      </c>
      <c r="G4" s="112">
        <v>0</v>
      </c>
      <c r="H4" s="113">
        <v>1</v>
      </c>
      <c r="J4" s="112">
        <v>0</v>
      </c>
      <c r="K4" s="113">
        <v>1</v>
      </c>
    </row>
    <row r="5" spans="1:29" x14ac:dyDescent="0.3">
      <c r="A5" s="111">
        <v>3</v>
      </c>
      <c r="B5" s="109">
        <v>1.25</v>
      </c>
      <c r="D5" s="111">
        <v>3</v>
      </c>
      <c r="E5" s="109">
        <v>1.25</v>
      </c>
      <c r="G5" s="111">
        <v>1</v>
      </c>
      <c r="H5" s="113">
        <v>1.2</v>
      </c>
      <c r="J5" s="111">
        <v>1</v>
      </c>
      <c r="K5" s="113">
        <v>1.2</v>
      </c>
    </row>
    <row r="6" spans="1:29" x14ac:dyDescent="0.3">
      <c r="A6" s="111">
        <v>6</v>
      </c>
      <c r="B6" s="109">
        <v>1.5</v>
      </c>
      <c r="D6" s="111">
        <v>6</v>
      </c>
      <c r="E6" s="109">
        <v>1.5</v>
      </c>
      <c r="G6" s="111">
        <v>2</v>
      </c>
      <c r="H6" s="113">
        <v>1.4</v>
      </c>
      <c r="J6" s="111">
        <v>2</v>
      </c>
      <c r="K6" s="113">
        <v>1.4</v>
      </c>
    </row>
    <row r="7" spans="1:29" x14ac:dyDescent="0.3">
      <c r="A7" s="111">
        <v>9</v>
      </c>
      <c r="B7" s="109">
        <v>1.75</v>
      </c>
      <c r="D7" s="111">
        <v>9</v>
      </c>
      <c r="E7" s="109">
        <v>1.75</v>
      </c>
      <c r="G7" s="111">
        <v>3</v>
      </c>
      <c r="H7" s="114">
        <v>1.6</v>
      </c>
      <c r="J7" s="111">
        <v>3</v>
      </c>
      <c r="K7" s="114">
        <v>1.6</v>
      </c>
    </row>
    <row r="8" spans="1:29" x14ac:dyDescent="0.3">
      <c r="A8" s="111">
        <v>12</v>
      </c>
      <c r="B8" s="109">
        <v>2</v>
      </c>
      <c r="D8" s="111">
        <v>12</v>
      </c>
      <c r="E8" s="109">
        <v>2</v>
      </c>
      <c r="G8" s="111">
        <v>4</v>
      </c>
      <c r="H8" s="113">
        <v>1.8</v>
      </c>
      <c r="J8" s="111">
        <v>4</v>
      </c>
      <c r="K8" s="113">
        <v>1.8</v>
      </c>
    </row>
    <row r="9" spans="1:29" x14ac:dyDescent="0.3">
      <c r="A9" s="111">
        <v>14</v>
      </c>
      <c r="B9" s="109">
        <v>2.25</v>
      </c>
      <c r="D9" s="111">
        <v>14</v>
      </c>
      <c r="E9" s="109">
        <v>2.25</v>
      </c>
      <c r="G9" s="111">
        <v>5</v>
      </c>
      <c r="H9" s="113">
        <v>2</v>
      </c>
      <c r="J9" s="111">
        <v>5</v>
      </c>
      <c r="K9" s="113">
        <v>2</v>
      </c>
    </row>
    <row r="10" spans="1:29" x14ac:dyDescent="0.3">
      <c r="A10" s="111">
        <v>17</v>
      </c>
      <c r="B10" s="109">
        <v>2.5</v>
      </c>
      <c r="D10" s="111">
        <v>17</v>
      </c>
      <c r="E10" s="109">
        <v>2.5</v>
      </c>
      <c r="G10" s="111">
        <v>6</v>
      </c>
      <c r="H10" s="114">
        <v>2.2000000000000002</v>
      </c>
      <c r="J10" s="111">
        <v>6</v>
      </c>
      <c r="K10" s="114">
        <v>2.2000000000000002</v>
      </c>
    </row>
    <row r="11" spans="1:29" x14ac:dyDescent="0.3">
      <c r="A11" s="111">
        <v>20</v>
      </c>
      <c r="B11" s="109">
        <v>2.75</v>
      </c>
      <c r="D11" s="111">
        <v>20</v>
      </c>
      <c r="E11" s="109">
        <v>2.75</v>
      </c>
      <c r="G11" s="111">
        <v>7</v>
      </c>
      <c r="H11" s="113">
        <v>2.4</v>
      </c>
      <c r="J11" s="111">
        <v>7</v>
      </c>
      <c r="K11" s="113">
        <v>2.4</v>
      </c>
    </row>
    <row r="12" spans="1:29" x14ac:dyDescent="0.3">
      <c r="A12" s="111">
        <v>23</v>
      </c>
      <c r="B12" s="109">
        <v>3</v>
      </c>
      <c r="D12" s="111">
        <v>23</v>
      </c>
      <c r="E12" s="109">
        <v>3</v>
      </c>
      <c r="G12" s="111">
        <v>8</v>
      </c>
      <c r="H12" s="113">
        <v>2.6</v>
      </c>
      <c r="J12" s="111">
        <v>8</v>
      </c>
      <c r="K12" s="113">
        <v>2.6</v>
      </c>
    </row>
    <row r="13" spans="1:29" x14ac:dyDescent="0.3">
      <c r="A13" s="111">
        <v>26</v>
      </c>
      <c r="B13" s="109">
        <v>3.25</v>
      </c>
      <c r="D13" s="111">
        <v>26</v>
      </c>
      <c r="E13" s="109">
        <v>3.25</v>
      </c>
      <c r="G13" s="111">
        <v>9</v>
      </c>
      <c r="H13" s="114">
        <v>2.8</v>
      </c>
      <c r="J13" s="111">
        <v>9</v>
      </c>
      <c r="K13" s="114">
        <v>2.8</v>
      </c>
    </row>
    <row r="14" spans="1:29" x14ac:dyDescent="0.3">
      <c r="A14" s="111">
        <v>28</v>
      </c>
      <c r="B14" s="109">
        <v>3.5</v>
      </c>
      <c r="D14" s="111">
        <v>28</v>
      </c>
      <c r="E14" s="109">
        <v>3.5</v>
      </c>
      <c r="G14" s="111">
        <v>10</v>
      </c>
      <c r="H14" s="113">
        <v>3</v>
      </c>
      <c r="J14" s="111">
        <v>10</v>
      </c>
      <c r="K14" s="113">
        <v>3</v>
      </c>
    </row>
    <row r="15" spans="1:29" x14ac:dyDescent="0.3">
      <c r="A15" s="111">
        <v>31</v>
      </c>
      <c r="B15" s="109">
        <v>3.75</v>
      </c>
      <c r="D15" s="111">
        <v>31</v>
      </c>
      <c r="E15" s="109">
        <v>3.75</v>
      </c>
      <c r="G15" s="111">
        <v>11</v>
      </c>
      <c r="H15" s="113">
        <v>3.2</v>
      </c>
      <c r="J15" s="111">
        <v>11</v>
      </c>
      <c r="K15" s="113">
        <v>3.2</v>
      </c>
    </row>
    <row r="16" spans="1:29" x14ac:dyDescent="0.3">
      <c r="A16" s="111">
        <v>34</v>
      </c>
      <c r="B16" s="109">
        <v>4</v>
      </c>
      <c r="D16" s="111">
        <v>34</v>
      </c>
      <c r="E16" s="109">
        <v>4</v>
      </c>
      <c r="G16" s="111">
        <v>12</v>
      </c>
      <c r="H16" s="114">
        <v>3.4</v>
      </c>
      <c r="J16" s="111">
        <v>12</v>
      </c>
      <c r="K16" s="114">
        <v>3.4</v>
      </c>
    </row>
    <row r="17" spans="1:11" x14ac:dyDescent="0.3">
      <c r="A17" s="111">
        <v>37</v>
      </c>
      <c r="B17" s="109">
        <v>4.25</v>
      </c>
      <c r="D17" s="111">
        <v>37</v>
      </c>
      <c r="E17" s="109">
        <v>4.25</v>
      </c>
      <c r="G17" s="111">
        <v>13</v>
      </c>
      <c r="H17" s="113">
        <v>3.6</v>
      </c>
      <c r="J17" s="111">
        <v>13</v>
      </c>
      <c r="K17" s="113">
        <v>3.6</v>
      </c>
    </row>
    <row r="18" spans="1:11" x14ac:dyDescent="0.3">
      <c r="A18" s="111">
        <v>40</v>
      </c>
      <c r="B18" s="109">
        <v>4.5</v>
      </c>
      <c r="D18" s="111">
        <v>40</v>
      </c>
      <c r="E18" s="109">
        <v>4.5</v>
      </c>
      <c r="G18" s="111">
        <v>14</v>
      </c>
      <c r="H18" s="113">
        <v>3.8</v>
      </c>
      <c r="J18" s="111">
        <v>14</v>
      </c>
      <c r="K18" s="113">
        <v>3.8</v>
      </c>
    </row>
    <row r="19" spans="1:11" x14ac:dyDescent="0.3">
      <c r="A19" s="111">
        <v>42</v>
      </c>
      <c r="B19" s="109">
        <v>4.75</v>
      </c>
      <c r="D19" s="111">
        <v>42</v>
      </c>
      <c r="E19" s="109">
        <v>4.75</v>
      </c>
      <c r="G19" s="111">
        <v>15</v>
      </c>
      <c r="H19" s="114">
        <v>4</v>
      </c>
      <c r="J19" s="111">
        <v>15</v>
      </c>
      <c r="K19" s="114">
        <v>4</v>
      </c>
    </row>
    <row r="20" spans="1:11" x14ac:dyDescent="0.3">
      <c r="A20" s="111">
        <v>45</v>
      </c>
      <c r="B20" s="109">
        <v>5</v>
      </c>
      <c r="D20" s="111">
        <v>45</v>
      </c>
      <c r="E20" s="109">
        <v>5</v>
      </c>
      <c r="G20" s="111">
        <v>16</v>
      </c>
      <c r="H20" s="113">
        <v>4.2</v>
      </c>
      <c r="J20" s="111">
        <v>16</v>
      </c>
      <c r="K20" s="113">
        <v>4.2</v>
      </c>
    </row>
    <row r="21" spans="1:11" x14ac:dyDescent="0.3">
      <c r="A21" s="111">
        <v>48</v>
      </c>
      <c r="B21" s="109">
        <v>5.25</v>
      </c>
      <c r="D21" s="111">
        <v>48</v>
      </c>
      <c r="E21" s="109">
        <v>5.25</v>
      </c>
      <c r="G21" s="111">
        <v>17</v>
      </c>
      <c r="H21" s="113">
        <v>4.4000000000000004</v>
      </c>
      <c r="J21" s="111">
        <v>17</v>
      </c>
      <c r="K21" s="113">
        <v>4.4000000000000004</v>
      </c>
    </row>
    <row r="22" spans="1:11" x14ac:dyDescent="0.3">
      <c r="A22" s="111">
        <v>51</v>
      </c>
      <c r="B22" s="109">
        <v>5.5</v>
      </c>
      <c r="D22" s="111">
        <v>51</v>
      </c>
      <c r="E22" s="109">
        <v>5.5</v>
      </c>
      <c r="G22" s="111">
        <v>18</v>
      </c>
      <c r="H22" s="114">
        <v>4.5999999999999996</v>
      </c>
      <c r="J22" s="111">
        <v>18</v>
      </c>
      <c r="K22" s="114">
        <v>4.5999999999999996</v>
      </c>
    </row>
    <row r="23" spans="1:11" x14ac:dyDescent="0.3">
      <c r="A23" s="111">
        <v>54</v>
      </c>
      <c r="B23" s="109">
        <v>5.75</v>
      </c>
      <c r="D23" s="111">
        <v>54</v>
      </c>
      <c r="E23" s="109">
        <v>5.75</v>
      </c>
      <c r="G23" s="111">
        <v>19</v>
      </c>
      <c r="H23" s="113">
        <v>4.8</v>
      </c>
      <c r="J23" s="111">
        <v>19</v>
      </c>
      <c r="K23" s="113">
        <v>4.8</v>
      </c>
    </row>
    <row r="24" spans="1:11" x14ac:dyDescent="0.3">
      <c r="A24" s="111">
        <v>56</v>
      </c>
      <c r="B24" s="109">
        <v>6</v>
      </c>
      <c r="D24" s="111">
        <v>56</v>
      </c>
      <c r="E24" s="109">
        <v>6</v>
      </c>
      <c r="G24" s="111">
        <v>20</v>
      </c>
      <c r="H24" s="113">
        <v>5</v>
      </c>
      <c r="J24" s="111">
        <v>20</v>
      </c>
      <c r="K24" s="113">
        <v>5</v>
      </c>
    </row>
    <row r="25" spans="1:11" x14ac:dyDescent="0.3">
      <c r="A25" s="168"/>
      <c r="B25" s="110"/>
      <c r="D25" s="168"/>
      <c r="E25" s="110"/>
      <c r="G25" s="111">
        <v>21</v>
      </c>
      <c r="H25" s="114">
        <v>5.2</v>
      </c>
      <c r="J25" s="111">
        <v>21</v>
      </c>
      <c r="K25" s="114">
        <v>5.2</v>
      </c>
    </row>
    <row r="26" spans="1:11" x14ac:dyDescent="0.3">
      <c r="G26" s="111">
        <v>22</v>
      </c>
      <c r="H26" s="113">
        <v>5.4</v>
      </c>
      <c r="J26" s="111">
        <v>22</v>
      </c>
      <c r="K26" s="113">
        <v>5.4</v>
      </c>
    </row>
    <row r="27" spans="1:11" x14ac:dyDescent="0.3">
      <c r="G27" s="111">
        <v>23</v>
      </c>
      <c r="H27" s="113">
        <v>5.6</v>
      </c>
      <c r="J27" s="111">
        <v>23</v>
      </c>
      <c r="K27" s="113">
        <v>5.6</v>
      </c>
    </row>
    <row r="28" spans="1:11" x14ac:dyDescent="0.3">
      <c r="G28" s="111">
        <v>24</v>
      </c>
      <c r="H28" s="114">
        <v>5.8</v>
      </c>
      <c r="J28" s="111">
        <v>24</v>
      </c>
      <c r="K28" s="114">
        <v>5.8</v>
      </c>
    </row>
    <row r="29" spans="1:11" x14ac:dyDescent="0.3">
      <c r="G29" s="111">
        <v>25</v>
      </c>
      <c r="H29" s="113">
        <v>6</v>
      </c>
      <c r="J29" s="111">
        <v>25</v>
      </c>
      <c r="K29" s="113">
        <v>6</v>
      </c>
    </row>
    <row r="30" spans="1:11" x14ac:dyDescent="0.3">
      <c r="G30" s="111">
        <v>26</v>
      </c>
      <c r="H30" s="113">
        <v>6</v>
      </c>
      <c r="J30" s="111">
        <v>26</v>
      </c>
      <c r="K30" s="113">
        <v>6</v>
      </c>
    </row>
    <row r="31" spans="1:11" x14ac:dyDescent="0.3">
      <c r="G31" s="168"/>
      <c r="H31" s="113"/>
      <c r="J31" s="168"/>
      <c r="K31" s="113"/>
    </row>
  </sheetData>
  <mergeCells count="4">
    <mergeCell ref="A2:B2"/>
    <mergeCell ref="D2:E2"/>
    <mergeCell ref="G2:H2"/>
    <mergeCell ref="J2:K2"/>
  </mergeCells>
  <conditionalFormatting sqref="B4:B24">
    <cfRule type="expression" dxfId="617" priority="3">
      <formula>RIGHT(TEXT($B4,"#.00"),2)="00"</formula>
    </cfRule>
    <cfRule type="expression" dxfId="616" priority="4">
      <formula>RIGHT(TEXT($B4,"#.00"),2)="50"</formula>
    </cfRule>
  </conditionalFormatting>
  <conditionalFormatting sqref="E4:E24">
    <cfRule type="expression" dxfId="615" priority="1">
      <formula>RIGHT(TEXT($E4,"#.00"),2)="00"</formula>
    </cfRule>
    <cfRule type="expression" dxfId="614" priority="2">
      <formula>RIGHT(TEXT($E4,"#.00"),2)="50"</formula>
    </cfRule>
  </conditionalFormatting>
  <pageMargins left="0.7" right="0.7" top="0.78740157499999996" bottom="0.78740157499999996" header="0.3" footer="0.3"/>
  <tableParts count="4">
    <tablePart r:id="rId1"/>
    <tablePart r:id="rId2"/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S27"/>
  <sheetViews>
    <sheetView zoomScaleNormal="10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7" width="11.6640625" style="10" customWidth="1"/>
    <col min="8" max="8" width="11.5546875" style="10"/>
    <col min="9" max="9" width="1.109375" style="10" customWidth="1"/>
    <col min="10" max="10" width="11.6640625" style="10" customWidth="1"/>
    <col min="11" max="11" width="11.5546875" style="10"/>
    <col min="12" max="12" width="2.6640625" style="10" customWidth="1"/>
    <col min="13" max="13" width="11.6640625" style="10" customWidth="1"/>
    <col min="14" max="14" width="11.5546875" style="10"/>
    <col min="15" max="15" width="1.109375" style="10" customWidth="1"/>
    <col min="16" max="17" width="11.5546875" style="10"/>
    <col min="18" max="18" width="11.5546875" style="10" customWidth="1"/>
    <col min="19" max="20" width="11.5546875" style="10"/>
    <col min="21" max="22" width="11.5546875" style="10" customWidth="1"/>
    <col min="23" max="23" width="11.5546875" style="10"/>
    <col min="24" max="24" width="11.5546875" style="10" customWidth="1"/>
    <col min="25" max="26" width="11.5546875" style="10"/>
    <col min="27" max="27" width="11.5546875" style="10" customWidth="1"/>
    <col min="28" max="16384" width="11.5546875" style="10"/>
  </cols>
  <sheetData>
    <row r="1" spans="1:45" s="11" customFormat="1" x14ac:dyDescent="0.3">
      <c r="A1" s="4" t="str">
        <f>INDEX(StdDisziplinen[StdDisziplin],17)</f>
        <v>Tanzen</v>
      </c>
      <c r="G1" s="4" t="str">
        <f>INDEX(StdDisziplinen[StdDisziplin],18)</f>
        <v>Rope-Skipping</v>
      </c>
      <c r="M1" s="4" t="str">
        <f>INDEX(StdDisziplinen[StdDisziplin],19)</f>
        <v>Aerobic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</row>
    <row r="2" spans="1:45" s="11" customFormat="1" x14ac:dyDescent="0.3">
      <c r="A2" s="584" t="str">
        <f>INDEX(StdSkala[StdSkalaText],3)</f>
        <v>Knaben K1</v>
      </c>
      <c r="B2" s="584"/>
      <c r="C2" s="99"/>
      <c r="D2" s="584" t="str">
        <f>INDEX(StdSkala[StdSkalaText],1)</f>
        <v>Mädchen M1</v>
      </c>
      <c r="E2" s="584"/>
      <c r="G2" s="584" t="str">
        <f>$A$2</f>
        <v>Knaben K1</v>
      </c>
      <c r="H2" s="584"/>
      <c r="I2" s="99"/>
      <c r="J2" s="584" t="str">
        <f>$D$2</f>
        <v>Mädchen M1</v>
      </c>
      <c r="K2" s="584"/>
      <c r="M2" s="584" t="str">
        <f>$A$2</f>
        <v>Knaben K1</v>
      </c>
      <c r="N2" s="584"/>
      <c r="O2" s="99"/>
      <c r="P2" s="584" t="str">
        <f>$D$2</f>
        <v>Mädchen M1</v>
      </c>
      <c r="Q2" s="584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</row>
    <row r="3" spans="1:45" x14ac:dyDescent="0.3">
      <c r="A3" s="115" t="s">
        <v>22</v>
      </c>
      <c r="B3" s="115" t="s">
        <v>7</v>
      </c>
      <c r="D3" s="115" t="s">
        <v>22</v>
      </c>
      <c r="E3" s="115" t="s">
        <v>7</v>
      </c>
      <c r="G3" s="116" t="s">
        <v>22</v>
      </c>
      <c r="H3" s="116" t="s">
        <v>7</v>
      </c>
      <c r="J3" s="116" t="s">
        <v>22</v>
      </c>
      <c r="K3" s="116" t="s">
        <v>7</v>
      </c>
      <c r="M3" s="116" t="s">
        <v>22</v>
      </c>
      <c r="N3" s="116" t="s">
        <v>7</v>
      </c>
      <c r="P3" s="116" t="s">
        <v>22</v>
      </c>
      <c r="Q3" s="116" t="s">
        <v>7</v>
      </c>
    </row>
    <row r="4" spans="1:45" x14ac:dyDescent="0.3">
      <c r="A4" s="123">
        <v>1</v>
      </c>
      <c r="B4" s="120">
        <v>1</v>
      </c>
      <c r="D4" s="126">
        <v>1</v>
      </c>
      <c r="E4" s="128">
        <v>1</v>
      </c>
      <c r="G4" s="124">
        <v>0</v>
      </c>
      <c r="H4" s="121">
        <v>2.25</v>
      </c>
      <c r="J4" s="124">
        <v>0</v>
      </c>
      <c r="K4" s="121">
        <v>2.25</v>
      </c>
      <c r="M4" s="126">
        <v>1</v>
      </c>
      <c r="N4" s="130">
        <v>1</v>
      </c>
      <c r="P4" s="126">
        <v>1</v>
      </c>
      <c r="Q4" s="130">
        <v>1</v>
      </c>
    </row>
    <row r="5" spans="1:45" x14ac:dyDescent="0.3">
      <c r="A5" s="123">
        <v>1.5</v>
      </c>
      <c r="B5" s="120">
        <v>1</v>
      </c>
      <c r="D5" s="126">
        <v>1.5</v>
      </c>
      <c r="E5" s="128">
        <v>1</v>
      </c>
      <c r="G5" s="124">
        <v>1</v>
      </c>
      <c r="H5" s="121">
        <v>2.5</v>
      </c>
      <c r="J5" s="124">
        <v>1</v>
      </c>
      <c r="K5" s="121">
        <v>2.5</v>
      </c>
      <c r="M5" s="126">
        <v>1.5</v>
      </c>
      <c r="N5" s="130">
        <v>1</v>
      </c>
      <c r="P5" s="126">
        <v>1.5</v>
      </c>
      <c r="Q5" s="130">
        <v>1</v>
      </c>
    </row>
    <row r="6" spans="1:45" x14ac:dyDescent="0.3">
      <c r="A6" s="123">
        <v>2</v>
      </c>
      <c r="B6" s="120">
        <v>1</v>
      </c>
      <c r="D6" s="126">
        <v>2</v>
      </c>
      <c r="E6" s="128">
        <v>1</v>
      </c>
      <c r="G6" s="124">
        <v>2</v>
      </c>
      <c r="H6" s="121">
        <v>2.75</v>
      </c>
      <c r="J6" s="124">
        <v>2</v>
      </c>
      <c r="K6" s="121">
        <v>2.75</v>
      </c>
      <c r="M6" s="126">
        <v>2</v>
      </c>
      <c r="N6" s="130">
        <v>1</v>
      </c>
      <c r="P6" s="126">
        <v>2</v>
      </c>
      <c r="Q6" s="130">
        <v>1</v>
      </c>
    </row>
    <row r="7" spans="1:45" x14ac:dyDescent="0.3">
      <c r="A7" s="123">
        <v>2.5</v>
      </c>
      <c r="B7" s="120">
        <v>1.25</v>
      </c>
      <c r="D7" s="126">
        <v>2.5</v>
      </c>
      <c r="E7" s="128">
        <v>1.25</v>
      </c>
      <c r="G7" s="125">
        <v>3</v>
      </c>
      <c r="H7" s="122">
        <v>3</v>
      </c>
      <c r="J7" s="125">
        <v>3</v>
      </c>
      <c r="K7" s="122">
        <v>3</v>
      </c>
      <c r="M7" s="126">
        <v>2.5</v>
      </c>
      <c r="N7" s="130">
        <v>1.25</v>
      </c>
      <c r="P7" s="126">
        <v>2.5</v>
      </c>
      <c r="Q7" s="130">
        <v>1.25</v>
      </c>
    </row>
    <row r="8" spans="1:45" x14ac:dyDescent="0.3">
      <c r="A8" s="123">
        <v>3</v>
      </c>
      <c r="B8" s="120">
        <v>1.5</v>
      </c>
      <c r="D8" s="126">
        <v>3</v>
      </c>
      <c r="E8" s="128">
        <v>1.5</v>
      </c>
      <c r="G8" s="125">
        <v>4</v>
      </c>
      <c r="H8" s="122">
        <v>3.25</v>
      </c>
      <c r="J8" s="125">
        <v>4</v>
      </c>
      <c r="K8" s="122">
        <v>3.25</v>
      </c>
      <c r="M8" s="126">
        <v>3</v>
      </c>
      <c r="N8" s="130">
        <v>1.5</v>
      </c>
      <c r="P8" s="126">
        <v>3</v>
      </c>
      <c r="Q8" s="130">
        <v>1.5</v>
      </c>
    </row>
    <row r="9" spans="1:45" x14ac:dyDescent="0.3">
      <c r="A9" s="123">
        <v>3.5</v>
      </c>
      <c r="B9" s="120">
        <v>1.75</v>
      </c>
      <c r="D9" s="126">
        <v>3.5</v>
      </c>
      <c r="E9" s="128">
        <v>1.75</v>
      </c>
      <c r="G9" s="125">
        <v>5</v>
      </c>
      <c r="H9" s="122">
        <v>3.5</v>
      </c>
      <c r="J9" s="125">
        <v>5</v>
      </c>
      <c r="K9" s="122">
        <v>3.5</v>
      </c>
      <c r="M9" s="126">
        <v>3.5</v>
      </c>
      <c r="N9" s="130">
        <v>1.75</v>
      </c>
      <c r="P9" s="126">
        <v>3.5</v>
      </c>
      <c r="Q9" s="130">
        <v>1.75</v>
      </c>
    </row>
    <row r="10" spans="1:45" x14ac:dyDescent="0.3">
      <c r="A10" s="123">
        <v>4</v>
      </c>
      <c r="B10" s="120">
        <v>2</v>
      </c>
      <c r="D10" s="126">
        <v>4</v>
      </c>
      <c r="E10" s="128">
        <v>2</v>
      </c>
      <c r="G10" s="125">
        <v>6</v>
      </c>
      <c r="H10" s="122">
        <v>3.75</v>
      </c>
      <c r="J10" s="125">
        <v>6</v>
      </c>
      <c r="K10" s="122">
        <v>3.75</v>
      </c>
      <c r="M10" s="126">
        <v>4</v>
      </c>
      <c r="N10" s="130">
        <v>2</v>
      </c>
      <c r="P10" s="126">
        <v>4</v>
      </c>
      <c r="Q10" s="130">
        <v>2</v>
      </c>
    </row>
    <row r="11" spans="1:45" x14ac:dyDescent="0.3">
      <c r="A11" s="123">
        <v>4.5</v>
      </c>
      <c r="B11" s="120">
        <v>2.25</v>
      </c>
      <c r="D11" s="126">
        <v>4.5</v>
      </c>
      <c r="E11" s="128">
        <v>2.25</v>
      </c>
      <c r="G11" s="125">
        <v>7</v>
      </c>
      <c r="H11" s="122">
        <v>4</v>
      </c>
      <c r="J11" s="125">
        <v>7</v>
      </c>
      <c r="K11" s="122">
        <v>4</v>
      </c>
      <c r="M11" s="126">
        <v>4.5</v>
      </c>
      <c r="N11" s="130">
        <v>2.25</v>
      </c>
      <c r="P11" s="126">
        <v>4.5</v>
      </c>
      <c r="Q11" s="130">
        <v>2.25</v>
      </c>
    </row>
    <row r="12" spans="1:45" x14ac:dyDescent="0.3">
      <c r="A12" s="123">
        <v>5</v>
      </c>
      <c r="B12" s="120">
        <v>2.5</v>
      </c>
      <c r="D12" s="126">
        <v>5</v>
      </c>
      <c r="E12" s="128">
        <v>2.5</v>
      </c>
      <c r="G12" s="125">
        <v>8</v>
      </c>
      <c r="H12" s="122">
        <v>4.25</v>
      </c>
      <c r="J12" s="125">
        <v>8</v>
      </c>
      <c r="K12" s="122">
        <v>4.25</v>
      </c>
      <c r="M12" s="126">
        <v>5</v>
      </c>
      <c r="N12" s="130">
        <v>2.5</v>
      </c>
      <c r="P12" s="126">
        <v>5</v>
      </c>
      <c r="Q12" s="130">
        <v>2.5</v>
      </c>
    </row>
    <row r="13" spans="1:45" x14ac:dyDescent="0.3">
      <c r="A13" s="123">
        <v>5.5</v>
      </c>
      <c r="B13" s="120">
        <v>2.75</v>
      </c>
      <c r="D13" s="126">
        <v>5.5</v>
      </c>
      <c r="E13" s="128">
        <v>2.75</v>
      </c>
      <c r="G13" s="125">
        <v>9</v>
      </c>
      <c r="H13" s="122">
        <v>4.5</v>
      </c>
      <c r="J13" s="125">
        <v>9</v>
      </c>
      <c r="K13" s="122">
        <v>4.5</v>
      </c>
      <c r="M13" s="126">
        <v>5.5</v>
      </c>
      <c r="N13" s="130">
        <v>2.75</v>
      </c>
      <c r="P13" s="126">
        <v>5.5</v>
      </c>
      <c r="Q13" s="130">
        <v>2.75</v>
      </c>
    </row>
    <row r="14" spans="1:45" x14ac:dyDescent="0.3">
      <c r="A14" s="103">
        <v>6</v>
      </c>
      <c r="B14" s="119">
        <v>3</v>
      </c>
      <c r="D14" s="127">
        <v>6</v>
      </c>
      <c r="E14" s="129">
        <v>3</v>
      </c>
      <c r="G14" s="125">
        <v>10</v>
      </c>
      <c r="H14" s="122">
        <v>4.75</v>
      </c>
      <c r="J14" s="125">
        <v>10</v>
      </c>
      <c r="K14" s="122">
        <v>4.75</v>
      </c>
      <c r="M14" s="127">
        <v>6</v>
      </c>
      <c r="N14" s="131">
        <v>3</v>
      </c>
      <c r="P14" s="127">
        <v>6</v>
      </c>
      <c r="Q14" s="131">
        <v>3</v>
      </c>
    </row>
    <row r="15" spans="1:45" x14ac:dyDescent="0.3">
      <c r="A15" s="103">
        <v>6.5</v>
      </c>
      <c r="B15" s="119">
        <v>3.25</v>
      </c>
      <c r="D15" s="127">
        <v>6.5</v>
      </c>
      <c r="E15" s="129">
        <v>3.25</v>
      </c>
      <c r="G15" s="125">
        <v>11</v>
      </c>
      <c r="H15" s="122">
        <v>5</v>
      </c>
      <c r="J15" s="125">
        <v>11</v>
      </c>
      <c r="K15" s="122">
        <v>5</v>
      </c>
      <c r="M15" s="127">
        <v>6.5</v>
      </c>
      <c r="N15" s="131">
        <v>3.25</v>
      </c>
      <c r="P15" s="127">
        <v>6.5</v>
      </c>
      <c r="Q15" s="131">
        <v>3.25</v>
      </c>
    </row>
    <row r="16" spans="1:45" x14ac:dyDescent="0.3">
      <c r="A16" s="103">
        <v>7</v>
      </c>
      <c r="B16" s="119">
        <v>3.5</v>
      </c>
      <c r="D16" s="127">
        <v>7</v>
      </c>
      <c r="E16" s="129">
        <v>3.5</v>
      </c>
      <c r="G16" s="125">
        <v>12</v>
      </c>
      <c r="H16" s="122">
        <v>5.25</v>
      </c>
      <c r="J16" s="125">
        <v>12</v>
      </c>
      <c r="K16" s="122">
        <v>5.25</v>
      </c>
      <c r="M16" s="127">
        <v>7</v>
      </c>
      <c r="N16" s="131">
        <v>3.5</v>
      </c>
      <c r="P16" s="127">
        <v>7</v>
      </c>
      <c r="Q16" s="131">
        <v>3.5</v>
      </c>
    </row>
    <row r="17" spans="1:17" x14ac:dyDescent="0.3">
      <c r="A17" s="103">
        <v>7.5</v>
      </c>
      <c r="B17" s="119">
        <v>3.75</v>
      </c>
      <c r="D17" s="127">
        <v>7.5</v>
      </c>
      <c r="E17" s="129">
        <v>3.75</v>
      </c>
      <c r="G17" s="125">
        <v>13</v>
      </c>
      <c r="H17" s="122">
        <v>5.5</v>
      </c>
      <c r="J17" s="125">
        <v>13</v>
      </c>
      <c r="K17" s="122">
        <v>5.5</v>
      </c>
      <c r="M17" s="127">
        <v>7.5</v>
      </c>
      <c r="N17" s="131">
        <v>3.75</v>
      </c>
      <c r="P17" s="127">
        <v>7.5</v>
      </c>
      <c r="Q17" s="131">
        <v>3.75</v>
      </c>
    </row>
    <row r="18" spans="1:17" x14ac:dyDescent="0.3">
      <c r="A18" s="103">
        <v>8</v>
      </c>
      <c r="B18" s="119">
        <v>4</v>
      </c>
      <c r="D18" s="127">
        <v>8</v>
      </c>
      <c r="E18" s="129">
        <v>4</v>
      </c>
      <c r="G18" s="125">
        <v>14</v>
      </c>
      <c r="H18" s="122">
        <v>5.75</v>
      </c>
      <c r="J18" s="125">
        <v>14</v>
      </c>
      <c r="K18" s="122">
        <v>5.75</v>
      </c>
      <c r="M18" s="127">
        <v>8</v>
      </c>
      <c r="N18" s="131">
        <v>4</v>
      </c>
      <c r="P18" s="127">
        <v>8</v>
      </c>
      <c r="Q18" s="131">
        <v>4</v>
      </c>
    </row>
    <row r="19" spans="1:17" x14ac:dyDescent="0.3">
      <c r="A19" s="103">
        <v>8.5</v>
      </c>
      <c r="B19" s="119">
        <v>4.25</v>
      </c>
      <c r="D19" s="127">
        <v>8.5</v>
      </c>
      <c r="E19" s="129">
        <v>4.25</v>
      </c>
      <c r="G19" s="125">
        <v>15</v>
      </c>
      <c r="H19" s="122">
        <v>6</v>
      </c>
      <c r="J19" s="125">
        <v>15</v>
      </c>
      <c r="K19" s="122">
        <v>6</v>
      </c>
      <c r="M19" s="127">
        <v>8.5</v>
      </c>
      <c r="N19" s="131">
        <v>4.25</v>
      </c>
      <c r="P19" s="127">
        <v>8.5</v>
      </c>
      <c r="Q19" s="131">
        <v>4.25</v>
      </c>
    </row>
    <row r="20" spans="1:17" x14ac:dyDescent="0.3">
      <c r="A20" s="103">
        <v>9</v>
      </c>
      <c r="B20" s="119">
        <v>4.5</v>
      </c>
      <c r="D20" s="127">
        <v>9</v>
      </c>
      <c r="E20" s="129">
        <v>4.5</v>
      </c>
      <c r="G20" s="238">
        <v>16</v>
      </c>
      <c r="H20" s="239">
        <v>6</v>
      </c>
      <c r="J20" s="238">
        <v>16</v>
      </c>
      <c r="K20" s="239">
        <v>6</v>
      </c>
      <c r="M20" s="127">
        <v>9</v>
      </c>
      <c r="N20" s="131">
        <v>4.5</v>
      </c>
      <c r="P20" s="127">
        <v>9</v>
      </c>
      <c r="Q20" s="131">
        <v>4.5</v>
      </c>
    </row>
    <row r="21" spans="1:17" x14ac:dyDescent="0.3">
      <c r="A21" s="103">
        <v>9.5</v>
      </c>
      <c r="B21" s="119">
        <v>4.75</v>
      </c>
      <c r="D21" s="127">
        <v>9.5</v>
      </c>
      <c r="E21" s="129">
        <v>4.75</v>
      </c>
      <c r="G21" s="238">
        <v>17</v>
      </c>
      <c r="H21" s="239">
        <v>6</v>
      </c>
      <c r="J21" s="238">
        <v>17</v>
      </c>
      <c r="K21" s="239">
        <v>6</v>
      </c>
      <c r="M21" s="127">
        <v>9.5</v>
      </c>
      <c r="N21" s="131">
        <v>4.75</v>
      </c>
      <c r="P21" s="127">
        <v>9.5</v>
      </c>
      <c r="Q21" s="131">
        <v>4.75</v>
      </c>
    </row>
    <row r="22" spans="1:17" x14ac:dyDescent="0.3">
      <c r="A22" s="103">
        <v>10</v>
      </c>
      <c r="B22" s="119">
        <v>5</v>
      </c>
      <c r="D22" s="127">
        <v>10</v>
      </c>
      <c r="E22" s="129">
        <v>5</v>
      </c>
      <c r="G22" s="238">
        <v>18</v>
      </c>
      <c r="H22" s="239">
        <v>6</v>
      </c>
      <c r="J22" s="238">
        <v>18</v>
      </c>
      <c r="K22" s="239">
        <v>6</v>
      </c>
      <c r="M22" s="127">
        <v>10</v>
      </c>
      <c r="N22" s="131">
        <v>5</v>
      </c>
      <c r="P22" s="127">
        <v>10</v>
      </c>
      <c r="Q22" s="131">
        <v>5</v>
      </c>
    </row>
    <row r="23" spans="1:17" x14ac:dyDescent="0.3">
      <c r="A23" s="103">
        <v>10.5</v>
      </c>
      <c r="B23" s="119">
        <v>5.25</v>
      </c>
      <c r="D23" s="127">
        <v>10.5</v>
      </c>
      <c r="E23" s="129">
        <v>5.25</v>
      </c>
      <c r="G23" s="170"/>
      <c r="H23" s="118"/>
      <c r="J23" s="170"/>
      <c r="K23" s="118"/>
      <c r="M23" s="127">
        <v>10.5</v>
      </c>
      <c r="N23" s="131">
        <v>5.25</v>
      </c>
      <c r="P23" s="127">
        <v>10.5</v>
      </c>
      <c r="Q23" s="131">
        <v>5.25</v>
      </c>
    </row>
    <row r="24" spans="1:17" x14ac:dyDescent="0.3">
      <c r="A24" s="103">
        <v>11</v>
      </c>
      <c r="B24" s="119">
        <v>5.5</v>
      </c>
      <c r="D24" s="127">
        <v>11</v>
      </c>
      <c r="E24" s="129">
        <v>5.5</v>
      </c>
      <c r="G24" s="117"/>
      <c r="H24" s="118"/>
      <c r="J24" s="117"/>
      <c r="K24" s="118"/>
      <c r="M24" s="127">
        <v>11</v>
      </c>
      <c r="N24" s="131">
        <v>5.5</v>
      </c>
      <c r="P24" s="127">
        <v>11</v>
      </c>
      <c r="Q24" s="131">
        <v>5.5</v>
      </c>
    </row>
    <row r="25" spans="1:17" x14ac:dyDescent="0.3">
      <c r="A25" s="103">
        <v>11.5</v>
      </c>
      <c r="B25" s="119">
        <v>5.75</v>
      </c>
      <c r="D25" s="127">
        <v>11.5</v>
      </c>
      <c r="E25" s="129">
        <v>5.75</v>
      </c>
      <c r="M25" s="127">
        <v>11.5</v>
      </c>
      <c r="N25" s="131">
        <v>5.75</v>
      </c>
      <c r="P25" s="127">
        <v>11.5</v>
      </c>
      <c r="Q25" s="131">
        <v>5.75</v>
      </c>
    </row>
    <row r="26" spans="1:17" x14ac:dyDescent="0.3">
      <c r="A26" s="103">
        <v>12</v>
      </c>
      <c r="B26" s="119">
        <v>6</v>
      </c>
      <c r="D26" s="103">
        <v>12</v>
      </c>
      <c r="E26" s="119">
        <v>6</v>
      </c>
      <c r="M26" s="103">
        <v>12</v>
      </c>
      <c r="N26" s="122">
        <v>6</v>
      </c>
      <c r="P26" s="103">
        <v>12</v>
      </c>
      <c r="Q26" s="122">
        <v>6</v>
      </c>
    </row>
    <row r="27" spans="1:17" x14ac:dyDescent="0.3">
      <c r="A27" s="168"/>
      <c r="B27" s="120"/>
      <c r="D27" s="168"/>
      <c r="E27" s="120"/>
      <c r="M27" s="168"/>
      <c r="N27" s="121"/>
      <c r="P27" s="168"/>
      <c r="Q27" s="121"/>
    </row>
  </sheetData>
  <mergeCells count="6">
    <mergeCell ref="P2:Q2"/>
    <mergeCell ref="A2:B2"/>
    <mergeCell ref="D2:E2"/>
    <mergeCell ref="G2:H2"/>
    <mergeCell ref="J2:K2"/>
    <mergeCell ref="M2:N2"/>
  </mergeCells>
  <conditionalFormatting sqref="H4:H22">
    <cfRule type="expression" dxfId="597" priority="16">
      <formula>RIGHT(TEXT($H4,"#.00"),2)="00"</formula>
    </cfRule>
    <cfRule type="expression" dxfId="596" priority="17">
      <formula>RIGHT(TEXT($H4,"#.00"),2)="50"</formula>
    </cfRule>
  </conditionalFormatting>
  <conditionalFormatting sqref="K4:K22">
    <cfRule type="expression" dxfId="595" priority="14">
      <formula>RIGHT(TEXT($K4,"#.00"),2)="00"</formula>
    </cfRule>
    <cfRule type="expression" dxfId="594" priority="15">
      <formula>RIGHT(TEXT($K4,"#.00"),2)="50"</formula>
    </cfRule>
  </conditionalFormatting>
  <conditionalFormatting sqref="A4:A26">
    <cfRule type="expression" dxfId="593" priority="6">
      <formula>RIGHT(TEXT($A4,"#.0"),1)="0"</formula>
    </cfRule>
  </conditionalFormatting>
  <conditionalFormatting sqref="D4:D26">
    <cfRule type="expression" dxfId="592" priority="5">
      <formula>RIGHT(TEXT($D4,"#.0"),1)="0"</formula>
    </cfRule>
  </conditionalFormatting>
  <conditionalFormatting sqref="B4:B26">
    <cfRule type="expression" dxfId="591" priority="7">
      <formula>RIGHT(TEXT($B4,"#.00"),2)="00"</formula>
    </cfRule>
    <cfRule type="expression" dxfId="590" priority="8">
      <formula>RIGHT(TEXT($B4,"#.00"),2)="50"</formula>
    </cfRule>
  </conditionalFormatting>
  <conditionalFormatting sqref="E4:E26">
    <cfRule type="expression" dxfId="589" priority="18">
      <formula>RIGHT(TEXT($E4,"#.00"),2)="00"</formula>
    </cfRule>
    <cfRule type="expression" dxfId="588" priority="19">
      <formula>RIGHT(TEXT($E4,"#.00"),2)="50"</formula>
    </cfRule>
  </conditionalFormatting>
  <conditionalFormatting sqref="N4:N26">
    <cfRule type="expression" dxfId="587" priority="12">
      <formula>RIGHT(TEXT($N4,"#.00"),2)="00"</formula>
    </cfRule>
    <cfRule type="expression" dxfId="586" priority="13">
      <formula>RIGHT(TEXT($N4,"#.00"),2)="50"</formula>
    </cfRule>
  </conditionalFormatting>
  <conditionalFormatting sqref="Q4:Q26">
    <cfRule type="expression" dxfId="585" priority="10">
      <formula>RIGHT(TEXT($Q4,"#.00"),2)="00"</formula>
    </cfRule>
    <cfRule type="expression" dxfId="584" priority="11">
      <formula>RIGHT(TEXT($Q4,"#.00"),2)="50"</formula>
    </cfRule>
  </conditionalFormatting>
  <conditionalFormatting sqref="M4:M26">
    <cfRule type="expression" dxfId="583" priority="4">
      <formula>RIGHT(TEXT($M4,"#.0"),1)="0"</formula>
    </cfRule>
  </conditionalFormatting>
  <conditionalFormatting sqref="P4:P26">
    <cfRule type="expression" dxfId="582" priority="2">
      <formula>RIGHT(TEXT($P4,"#.0"),1)="0"</formula>
    </cfRule>
  </conditionalFormatting>
  <pageMargins left="0.7" right="0.7" top="0.78740157499999996" bottom="0.78740157499999996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S27"/>
  <sheetViews>
    <sheetView zoomScaleNormal="10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7" width="11.6640625" style="10" customWidth="1"/>
    <col min="8" max="8" width="11.5546875" style="10"/>
    <col min="9" max="9" width="1.109375" style="10" customWidth="1"/>
    <col min="10" max="10" width="11.6640625" style="10" customWidth="1"/>
    <col min="11" max="11" width="11.5546875" style="10"/>
    <col min="12" max="12" width="2.6640625" style="10" customWidth="1"/>
    <col min="13" max="13" width="11.6640625" style="10" customWidth="1"/>
    <col min="14" max="14" width="11.5546875" style="10"/>
    <col min="15" max="15" width="1.109375" style="10" customWidth="1"/>
    <col min="16" max="17" width="11.5546875" style="10"/>
    <col min="18" max="18" width="11.5546875" style="10" customWidth="1"/>
    <col min="19" max="20" width="11.5546875" style="10"/>
    <col min="21" max="22" width="11.5546875" style="10" customWidth="1"/>
    <col min="23" max="23" width="11.5546875" style="10"/>
    <col min="24" max="24" width="11.5546875" style="10" customWidth="1"/>
    <col min="25" max="26" width="11.5546875" style="10"/>
    <col min="27" max="27" width="11.5546875" style="10" customWidth="1"/>
    <col min="28" max="16384" width="11.5546875" style="10"/>
  </cols>
  <sheetData>
    <row r="1" spans="1:45" s="11" customFormat="1" x14ac:dyDescent="0.3">
      <c r="A1" s="4" t="str">
        <f>INDEX(StdDisziplinen[StdDisziplin],17)</f>
        <v>Tanzen</v>
      </c>
      <c r="G1" s="4" t="str">
        <f>INDEX(StdDisziplinen[StdDisziplin],18)</f>
        <v>Rope-Skipping</v>
      </c>
      <c r="M1" s="4" t="str">
        <f>INDEX(StdDisziplinen[StdDisziplin],19)</f>
        <v>Aerobic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</row>
    <row r="2" spans="1:45" s="11" customFormat="1" x14ac:dyDescent="0.3">
      <c r="A2" s="584" t="str">
        <f>INDEX(StdSkala[StdSkalaText],4)</f>
        <v>Knaben K2</v>
      </c>
      <c r="B2" s="584"/>
      <c r="C2" s="99"/>
      <c r="D2" s="584" t="str">
        <f>INDEX(StdSkala[StdSkalaText],2)</f>
        <v>Mädchen M2</v>
      </c>
      <c r="E2" s="584"/>
      <c r="G2" s="584" t="str">
        <f>$A$2</f>
        <v>Knaben K2</v>
      </c>
      <c r="H2" s="584"/>
      <c r="I2" s="99"/>
      <c r="J2" s="584" t="str">
        <f>$D$2</f>
        <v>Mädchen M2</v>
      </c>
      <c r="K2" s="584"/>
      <c r="M2" s="584" t="str">
        <f>$A$2</f>
        <v>Knaben K2</v>
      </c>
      <c r="N2" s="584"/>
      <c r="O2" s="99"/>
      <c r="P2" s="584" t="str">
        <f>$D$2</f>
        <v>Mädchen M2</v>
      </c>
      <c r="Q2" s="584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</row>
    <row r="3" spans="1:45" x14ac:dyDescent="0.3">
      <c r="A3" s="115" t="s">
        <v>22</v>
      </c>
      <c r="B3" s="115" t="s">
        <v>7</v>
      </c>
      <c r="D3" s="115" t="s">
        <v>22</v>
      </c>
      <c r="E3" s="115" t="s">
        <v>7</v>
      </c>
      <c r="G3" s="116" t="s">
        <v>22</v>
      </c>
      <c r="H3" s="116" t="s">
        <v>7</v>
      </c>
      <c r="J3" s="116" t="s">
        <v>22</v>
      </c>
      <c r="K3" s="116" t="s">
        <v>7</v>
      </c>
      <c r="M3" s="116" t="s">
        <v>22</v>
      </c>
      <c r="N3" s="116" t="s">
        <v>7</v>
      </c>
      <c r="P3" s="116" t="s">
        <v>22</v>
      </c>
      <c r="Q3" s="116" t="s">
        <v>7</v>
      </c>
    </row>
    <row r="4" spans="1:45" x14ac:dyDescent="0.3">
      <c r="A4" s="123">
        <v>1</v>
      </c>
      <c r="B4" s="120">
        <v>1</v>
      </c>
      <c r="D4" s="123">
        <v>1</v>
      </c>
      <c r="E4" s="120">
        <v>1</v>
      </c>
      <c r="G4" s="124">
        <v>0</v>
      </c>
      <c r="H4" s="120">
        <v>2.25</v>
      </c>
      <c r="J4" s="124">
        <v>0</v>
      </c>
      <c r="K4" s="120">
        <v>2.25</v>
      </c>
      <c r="M4" s="123">
        <v>1</v>
      </c>
      <c r="N4" s="120">
        <v>1</v>
      </c>
      <c r="P4" s="123">
        <v>1</v>
      </c>
      <c r="Q4" s="120">
        <v>1</v>
      </c>
    </row>
    <row r="5" spans="1:45" x14ac:dyDescent="0.3">
      <c r="A5" s="123">
        <v>1.5</v>
      </c>
      <c r="B5" s="120">
        <v>1</v>
      </c>
      <c r="D5" s="123">
        <v>1.5</v>
      </c>
      <c r="E5" s="120">
        <v>1</v>
      </c>
      <c r="G5" s="124">
        <v>1</v>
      </c>
      <c r="H5" s="121">
        <v>2.5</v>
      </c>
      <c r="J5" s="124">
        <v>1</v>
      </c>
      <c r="K5" s="121">
        <v>2.5</v>
      </c>
      <c r="M5" s="123">
        <v>1.5</v>
      </c>
      <c r="N5" s="121">
        <v>1</v>
      </c>
      <c r="P5" s="123">
        <v>1.5</v>
      </c>
      <c r="Q5" s="121">
        <v>1</v>
      </c>
    </row>
    <row r="6" spans="1:45" x14ac:dyDescent="0.3">
      <c r="A6" s="123">
        <v>2</v>
      </c>
      <c r="B6" s="120">
        <v>1</v>
      </c>
      <c r="D6" s="123">
        <v>2</v>
      </c>
      <c r="E6" s="120">
        <v>1</v>
      </c>
      <c r="G6" s="124">
        <v>2</v>
      </c>
      <c r="H6" s="121">
        <v>2.75</v>
      </c>
      <c r="J6" s="124">
        <v>2</v>
      </c>
      <c r="K6" s="121">
        <v>2.75</v>
      </c>
      <c r="M6" s="123">
        <v>2</v>
      </c>
      <c r="N6" s="121">
        <v>1</v>
      </c>
      <c r="P6" s="123">
        <v>2</v>
      </c>
      <c r="Q6" s="121">
        <v>1</v>
      </c>
    </row>
    <row r="7" spans="1:45" x14ac:dyDescent="0.3">
      <c r="A7" s="123">
        <v>2.5</v>
      </c>
      <c r="B7" s="120">
        <v>1.25</v>
      </c>
      <c r="D7" s="123">
        <v>2.5</v>
      </c>
      <c r="E7" s="120">
        <v>1.25</v>
      </c>
      <c r="G7" s="125">
        <v>3</v>
      </c>
      <c r="H7" s="122">
        <v>3</v>
      </c>
      <c r="J7" s="125">
        <v>3</v>
      </c>
      <c r="K7" s="122">
        <v>3</v>
      </c>
      <c r="M7" s="123">
        <v>2.5</v>
      </c>
      <c r="N7" s="121">
        <v>1.25</v>
      </c>
      <c r="P7" s="123">
        <v>2.5</v>
      </c>
      <c r="Q7" s="121">
        <v>1.25</v>
      </c>
    </row>
    <row r="8" spans="1:45" x14ac:dyDescent="0.3">
      <c r="A8" s="123">
        <v>3</v>
      </c>
      <c r="B8" s="120">
        <v>1.5</v>
      </c>
      <c r="D8" s="123">
        <v>3</v>
      </c>
      <c r="E8" s="120">
        <v>1.5</v>
      </c>
      <c r="G8" s="125">
        <v>4</v>
      </c>
      <c r="H8" s="122">
        <v>3.25</v>
      </c>
      <c r="J8" s="125">
        <v>4</v>
      </c>
      <c r="K8" s="122">
        <v>3.25</v>
      </c>
      <c r="M8" s="123">
        <v>3</v>
      </c>
      <c r="N8" s="121">
        <v>1.5</v>
      </c>
      <c r="P8" s="123">
        <v>3</v>
      </c>
      <c r="Q8" s="121">
        <v>1.5</v>
      </c>
    </row>
    <row r="9" spans="1:45" x14ac:dyDescent="0.3">
      <c r="A9" s="123">
        <v>3.5</v>
      </c>
      <c r="B9" s="120">
        <v>1.75</v>
      </c>
      <c r="D9" s="123">
        <v>3.5</v>
      </c>
      <c r="E9" s="120">
        <v>1.75</v>
      </c>
      <c r="G9" s="125">
        <v>5</v>
      </c>
      <c r="H9" s="122">
        <v>3.5</v>
      </c>
      <c r="J9" s="125">
        <v>5</v>
      </c>
      <c r="K9" s="122">
        <v>3.5</v>
      </c>
      <c r="M9" s="123">
        <v>3.5</v>
      </c>
      <c r="N9" s="121">
        <v>1.75</v>
      </c>
      <c r="P9" s="123">
        <v>3.5</v>
      </c>
      <c r="Q9" s="121">
        <v>1.75</v>
      </c>
    </row>
    <row r="10" spans="1:45" x14ac:dyDescent="0.3">
      <c r="A10" s="123">
        <v>4</v>
      </c>
      <c r="B10" s="120">
        <v>2</v>
      </c>
      <c r="D10" s="123">
        <v>4</v>
      </c>
      <c r="E10" s="120">
        <v>2</v>
      </c>
      <c r="G10" s="125">
        <v>6</v>
      </c>
      <c r="H10" s="122">
        <v>3.75</v>
      </c>
      <c r="J10" s="125">
        <v>6</v>
      </c>
      <c r="K10" s="122">
        <v>3.75</v>
      </c>
      <c r="M10" s="123">
        <v>4</v>
      </c>
      <c r="N10" s="121">
        <v>2</v>
      </c>
      <c r="P10" s="123">
        <v>4</v>
      </c>
      <c r="Q10" s="121">
        <v>2</v>
      </c>
    </row>
    <row r="11" spans="1:45" x14ac:dyDescent="0.3">
      <c r="A11" s="123">
        <v>4.5</v>
      </c>
      <c r="B11" s="120">
        <v>2.25</v>
      </c>
      <c r="D11" s="123">
        <v>4.5</v>
      </c>
      <c r="E11" s="120">
        <v>2.25</v>
      </c>
      <c r="G11" s="125">
        <v>7</v>
      </c>
      <c r="H11" s="122">
        <v>4</v>
      </c>
      <c r="J11" s="125">
        <v>7</v>
      </c>
      <c r="K11" s="122">
        <v>4</v>
      </c>
      <c r="M11" s="123">
        <v>4.5</v>
      </c>
      <c r="N11" s="121">
        <v>2.25</v>
      </c>
      <c r="P11" s="123">
        <v>4.5</v>
      </c>
      <c r="Q11" s="121">
        <v>2.25</v>
      </c>
    </row>
    <row r="12" spans="1:45" x14ac:dyDescent="0.3">
      <c r="A12" s="123">
        <v>5</v>
      </c>
      <c r="B12" s="120">
        <v>2.5</v>
      </c>
      <c r="D12" s="123">
        <v>5</v>
      </c>
      <c r="E12" s="120">
        <v>2.5</v>
      </c>
      <c r="G12" s="125">
        <v>8</v>
      </c>
      <c r="H12" s="122">
        <v>4.25</v>
      </c>
      <c r="J12" s="125">
        <v>8</v>
      </c>
      <c r="K12" s="122">
        <v>4.25</v>
      </c>
      <c r="M12" s="123">
        <v>5</v>
      </c>
      <c r="N12" s="121">
        <v>2.5</v>
      </c>
      <c r="P12" s="123">
        <v>5</v>
      </c>
      <c r="Q12" s="121">
        <v>2.5</v>
      </c>
    </row>
    <row r="13" spans="1:45" x14ac:dyDescent="0.3">
      <c r="A13" s="123">
        <v>5.5</v>
      </c>
      <c r="B13" s="120">
        <v>2.75</v>
      </c>
      <c r="D13" s="123">
        <v>5.5</v>
      </c>
      <c r="E13" s="120">
        <v>2.75</v>
      </c>
      <c r="G13" s="125">
        <v>9</v>
      </c>
      <c r="H13" s="122">
        <v>4.5</v>
      </c>
      <c r="J13" s="125">
        <v>9</v>
      </c>
      <c r="K13" s="122">
        <v>4.5</v>
      </c>
      <c r="M13" s="123">
        <v>5.5</v>
      </c>
      <c r="N13" s="121">
        <v>2.75</v>
      </c>
      <c r="P13" s="123">
        <v>5.5</v>
      </c>
      <c r="Q13" s="121">
        <v>2.75</v>
      </c>
    </row>
    <row r="14" spans="1:45" x14ac:dyDescent="0.3">
      <c r="A14" s="103">
        <v>6</v>
      </c>
      <c r="B14" s="119">
        <v>3</v>
      </c>
      <c r="D14" s="103">
        <v>6</v>
      </c>
      <c r="E14" s="119">
        <v>3</v>
      </c>
      <c r="G14" s="125">
        <v>10</v>
      </c>
      <c r="H14" s="122">
        <v>4.75</v>
      </c>
      <c r="J14" s="125">
        <v>10</v>
      </c>
      <c r="K14" s="122">
        <v>4.75</v>
      </c>
      <c r="M14" s="103">
        <v>6</v>
      </c>
      <c r="N14" s="122">
        <v>3</v>
      </c>
      <c r="P14" s="103">
        <v>6</v>
      </c>
      <c r="Q14" s="122">
        <v>3</v>
      </c>
    </row>
    <row r="15" spans="1:45" x14ac:dyDescent="0.3">
      <c r="A15" s="103">
        <v>6.5</v>
      </c>
      <c r="B15" s="119">
        <v>3.25</v>
      </c>
      <c r="D15" s="103">
        <v>6.5</v>
      </c>
      <c r="E15" s="119">
        <v>3.25</v>
      </c>
      <c r="G15" s="125">
        <v>11</v>
      </c>
      <c r="H15" s="122">
        <v>5</v>
      </c>
      <c r="J15" s="125">
        <v>11</v>
      </c>
      <c r="K15" s="122">
        <v>5</v>
      </c>
      <c r="M15" s="103">
        <v>6.5</v>
      </c>
      <c r="N15" s="122">
        <v>3.25</v>
      </c>
      <c r="P15" s="103">
        <v>6.5</v>
      </c>
      <c r="Q15" s="122">
        <v>3.25</v>
      </c>
    </row>
    <row r="16" spans="1:45" x14ac:dyDescent="0.3">
      <c r="A16" s="103">
        <v>7</v>
      </c>
      <c r="B16" s="119">
        <v>3.5</v>
      </c>
      <c r="D16" s="103">
        <v>7</v>
      </c>
      <c r="E16" s="119">
        <v>3.5</v>
      </c>
      <c r="G16" s="125">
        <v>12</v>
      </c>
      <c r="H16" s="122">
        <v>5.25</v>
      </c>
      <c r="J16" s="125">
        <v>12</v>
      </c>
      <c r="K16" s="122">
        <v>5.25</v>
      </c>
      <c r="M16" s="103">
        <v>7</v>
      </c>
      <c r="N16" s="122">
        <v>3.5</v>
      </c>
      <c r="P16" s="103">
        <v>7</v>
      </c>
      <c r="Q16" s="122">
        <v>3.5</v>
      </c>
    </row>
    <row r="17" spans="1:17" x14ac:dyDescent="0.3">
      <c r="A17" s="103">
        <v>7.5</v>
      </c>
      <c r="B17" s="119">
        <v>3.75</v>
      </c>
      <c r="D17" s="103">
        <v>7.5</v>
      </c>
      <c r="E17" s="119">
        <v>3.75</v>
      </c>
      <c r="G17" s="125">
        <v>13</v>
      </c>
      <c r="H17" s="122">
        <v>5.5</v>
      </c>
      <c r="J17" s="125">
        <v>13</v>
      </c>
      <c r="K17" s="122">
        <v>5.5</v>
      </c>
      <c r="M17" s="103">
        <v>7.5</v>
      </c>
      <c r="N17" s="122">
        <v>3.75</v>
      </c>
      <c r="P17" s="103">
        <v>7.5</v>
      </c>
      <c r="Q17" s="122">
        <v>3.75</v>
      </c>
    </row>
    <row r="18" spans="1:17" x14ac:dyDescent="0.3">
      <c r="A18" s="103">
        <v>8</v>
      </c>
      <c r="B18" s="119">
        <v>4</v>
      </c>
      <c r="D18" s="103">
        <v>8</v>
      </c>
      <c r="E18" s="119">
        <v>4</v>
      </c>
      <c r="G18" s="125">
        <v>14</v>
      </c>
      <c r="H18" s="122">
        <v>5.75</v>
      </c>
      <c r="J18" s="125">
        <v>14</v>
      </c>
      <c r="K18" s="122">
        <v>5.75</v>
      </c>
      <c r="M18" s="103">
        <v>8</v>
      </c>
      <c r="N18" s="122">
        <v>4</v>
      </c>
      <c r="P18" s="103">
        <v>8</v>
      </c>
      <c r="Q18" s="122">
        <v>4</v>
      </c>
    </row>
    <row r="19" spans="1:17" x14ac:dyDescent="0.3">
      <c r="A19" s="103">
        <v>8.5</v>
      </c>
      <c r="B19" s="119">
        <v>4.25</v>
      </c>
      <c r="D19" s="103">
        <v>8.5</v>
      </c>
      <c r="E19" s="119">
        <v>4.25</v>
      </c>
      <c r="G19" s="125">
        <v>15</v>
      </c>
      <c r="H19" s="122">
        <v>6</v>
      </c>
      <c r="J19" s="125">
        <v>15</v>
      </c>
      <c r="K19" s="122">
        <v>6</v>
      </c>
      <c r="M19" s="103">
        <v>8.5</v>
      </c>
      <c r="N19" s="122">
        <v>4.25</v>
      </c>
      <c r="P19" s="103">
        <v>8.5</v>
      </c>
      <c r="Q19" s="122">
        <v>4.25</v>
      </c>
    </row>
    <row r="20" spans="1:17" x14ac:dyDescent="0.3">
      <c r="A20" s="103">
        <v>9</v>
      </c>
      <c r="B20" s="119">
        <v>4.5</v>
      </c>
      <c r="D20" s="103">
        <v>9</v>
      </c>
      <c r="E20" s="119">
        <v>4.5</v>
      </c>
      <c r="G20" s="238">
        <v>16</v>
      </c>
      <c r="H20" s="239">
        <v>6</v>
      </c>
      <c r="J20" s="238">
        <v>16</v>
      </c>
      <c r="K20" s="239">
        <v>6</v>
      </c>
      <c r="M20" s="103">
        <v>9</v>
      </c>
      <c r="N20" s="122">
        <v>4.5</v>
      </c>
      <c r="P20" s="103">
        <v>9</v>
      </c>
      <c r="Q20" s="122">
        <v>4.5</v>
      </c>
    </row>
    <row r="21" spans="1:17" x14ac:dyDescent="0.3">
      <c r="A21" s="103">
        <v>9.5</v>
      </c>
      <c r="B21" s="119">
        <v>4.75</v>
      </c>
      <c r="D21" s="103">
        <v>9.5</v>
      </c>
      <c r="E21" s="119">
        <v>4.75</v>
      </c>
      <c r="G21" s="238">
        <v>17</v>
      </c>
      <c r="H21" s="239">
        <v>6</v>
      </c>
      <c r="J21" s="238">
        <v>17</v>
      </c>
      <c r="K21" s="239">
        <v>6</v>
      </c>
      <c r="M21" s="103">
        <v>9.5</v>
      </c>
      <c r="N21" s="122">
        <v>4.75</v>
      </c>
      <c r="P21" s="103">
        <v>9.5</v>
      </c>
      <c r="Q21" s="122">
        <v>4.75</v>
      </c>
    </row>
    <row r="22" spans="1:17" x14ac:dyDescent="0.3">
      <c r="A22" s="103">
        <v>10</v>
      </c>
      <c r="B22" s="119">
        <v>5</v>
      </c>
      <c r="D22" s="103">
        <v>10</v>
      </c>
      <c r="E22" s="119">
        <v>5</v>
      </c>
      <c r="G22" s="238">
        <v>18</v>
      </c>
      <c r="H22" s="239">
        <v>6</v>
      </c>
      <c r="J22" s="238">
        <v>18</v>
      </c>
      <c r="K22" s="239">
        <v>6</v>
      </c>
      <c r="M22" s="103">
        <v>10</v>
      </c>
      <c r="N22" s="122">
        <v>5</v>
      </c>
      <c r="P22" s="103">
        <v>10</v>
      </c>
      <c r="Q22" s="122">
        <v>5</v>
      </c>
    </row>
    <row r="23" spans="1:17" x14ac:dyDescent="0.3">
      <c r="A23" s="103">
        <v>10.5</v>
      </c>
      <c r="B23" s="119">
        <v>5.25</v>
      </c>
      <c r="D23" s="103">
        <v>10.5</v>
      </c>
      <c r="E23" s="119">
        <v>5.25</v>
      </c>
      <c r="G23" s="170"/>
      <c r="H23" s="118"/>
      <c r="J23" s="170"/>
      <c r="K23" s="118"/>
      <c r="M23" s="103">
        <v>10.5</v>
      </c>
      <c r="N23" s="122">
        <v>5.25</v>
      </c>
      <c r="P23" s="103">
        <v>10.5</v>
      </c>
      <c r="Q23" s="122">
        <v>5.25</v>
      </c>
    </row>
    <row r="24" spans="1:17" x14ac:dyDescent="0.3">
      <c r="A24" s="103">
        <v>11</v>
      </c>
      <c r="B24" s="119">
        <v>5.5</v>
      </c>
      <c r="D24" s="103">
        <v>11</v>
      </c>
      <c r="E24" s="119">
        <v>5.5</v>
      </c>
      <c r="G24" s="117"/>
      <c r="H24" s="118"/>
      <c r="J24" s="117"/>
      <c r="K24" s="118"/>
      <c r="M24" s="103">
        <v>11</v>
      </c>
      <c r="N24" s="122">
        <v>5.5</v>
      </c>
      <c r="P24" s="103">
        <v>11</v>
      </c>
      <c r="Q24" s="122">
        <v>5.5</v>
      </c>
    </row>
    <row r="25" spans="1:17" x14ac:dyDescent="0.3">
      <c r="A25" s="103">
        <v>11.5</v>
      </c>
      <c r="B25" s="119">
        <v>5.75</v>
      </c>
      <c r="D25" s="103">
        <v>11.5</v>
      </c>
      <c r="E25" s="119">
        <v>5.75</v>
      </c>
      <c r="M25" s="103">
        <v>11.5</v>
      </c>
      <c r="N25" s="122">
        <v>5.75</v>
      </c>
      <c r="P25" s="103">
        <v>11.5</v>
      </c>
      <c r="Q25" s="122">
        <v>5.75</v>
      </c>
    </row>
    <row r="26" spans="1:17" x14ac:dyDescent="0.3">
      <c r="A26" s="103">
        <v>12</v>
      </c>
      <c r="B26" s="119">
        <v>6</v>
      </c>
      <c r="D26" s="103">
        <v>12</v>
      </c>
      <c r="E26" s="119">
        <v>6</v>
      </c>
      <c r="M26" s="103">
        <v>12</v>
      </c>
      <c r="N26" s="122">
        <v>6</v>
      </c>
      <c r="P26" s="103">
        <v>12</v>
      </c>
      <c r="Q26" s="122">
        <v>6</v>
      </c>
    </row>
    <row r="27" spans="1:17" x14ac:dyDescent="0.3">
      <c r="A27" s="168"/>
      <c r="B27" s="120"/>
      <c r="D27" s="168"/>
      <c r="E27" s="120"/>
      <c r="M27" s="168"/>
      <c r="N27" s="121"/>
      <c r="P27" s="168"/>
      <c r="Q27" s="121"/>
    </row>
  </sheetData>
  <mergeCells count="6">
    <mergeCell ref="P2:Q2"/>
    <mergeCell ref="A2:B2"/>
    <mergeCell ref="D2:E2"/>
    <mergeCell ref="G2:H2"/>
    <mergeCell ref="J2:K2"/>
    <mergeCell ref="M2:N2"/>
  </mergeCells>
  <conditionalFormatting sqref="A4:A26">
    <cfRule type="expression" dxfId="557" priority="11">
      <formula>RIGHT(TEXT($A4,"#.0"),1)="0"</formula>
    </cfRule>
  </conditionalFormatting>
  <conditionalFormatting sqref="D4:D26">
    <cfRule type="expression" dxfId="556" priority="9">
      <formula>RIGHT(TEXT($D4,"#.0"),1)="0"</formula>
    </cfRule>
  </conditionalFormatting>
  <conditionalFormatting sqref="M4:M26">
    <cfRule type="expression" dxfId="555" priority="3">
      <formula>RIGHT(TEXT($M4,"#.0"),1)="0"</formula>
    </cfRule>
  </conditionalFormatting>
  <conditionalFormatting sqref="P4:P26">
    <cfRule type="expression" dxfId="554" priority="1">
      <formula>RIGHT(TEXT($P4,"#.0"),1)="0"</formula>
    </cfRule>
  </conditionalFormatting>
  <conditionalFormatting sqref="B4:B26">
    <cfRule type="expression" dxfId="553" priority="12">
      <formula>RIGHT(TEXT($B4,"#.00"),2)="00"</formula>
    </cfRule>
    <cfRule type="expression" dxfId="552" priority="16">
      <formula>RIGHT(TEXT($B4,"#.00"),2)="50"</formula>
    </cfRule>
  </conditionalFormatting>
  <conditionalFormatting sqref="E4:E26">
    <cfRule type="expression" dxfId="551" priority="10">
      <formula>RIGHT(TEXT($E4,"#.00"),2)="00"</formula>
    </cfRule>
    <cfRule type="expression" dxfId="550" priority="15">
      <formula>RIGHT(TEXT($E4,"#.00"),2)="50"</formula>
    </cfRule>
  </conditionalFormatting>
  <conditionalFormatting sqref="H4:H22">
    <cfRule type="expression" dxfId="549" priority="7">
      <formula>RIGHT(TEXT($H4,"#.00"),2)="00"</formula>
    </cfRule>
    <cfRule type="expression" dxfId="548" priority="8">
      <formula>RIGHT(TEXT($H4,"#.00"),2)="50"</formula>
    </cfRule>
  </conditionalFormatting>
  <conditionalFormatting sqref="K4:K22">
    <cfRule type="expression" dxfId="547" priority="5">
      <formula>RIGHT(TEXT($K4,"#.00"),2)="00"</formula>
    </cfRule>
    <cfRule type="expression" dxfId="546" priority="6">
      <formula>RIGHT(TEXT($K4,"#.00"),2)="50"</formula>
    </cfRule>
  </conditionalFormatting>
  <conditionalFormatting sqref="N4:N26">
    <cfRule type="expression" dxfId="545" priority="4">
      <formula>RIGHT(TEXT($N4,"#.00"),2)="00"</formula>
    </cfRule>
    <cfRule type="expression" dxfId="544" priority="14">
      <formula>RIGHT(TEXT($N4,"#.00"),2)="50"</formula>
    </cfRule>
  </conditionalFormatting>
  <conditionalFormatting sqref="Q4:Q26">
    <cfRule type="expression" dxfId="543" priority="2">
      <formula>RIGHT(TEXT($Q4,"#.00"),2)="00"</formula>
    </cfRule>
    <cfRule type="expression" dxfId="542" priority="13">
      <formula>RIGHT(TEXT($Q4,"#.00"),2)="50"</formula>
    </cfRule>
  </conditionalFormatting>
  <pageMargins left="0.7" right="0.7" top="0.78740157499999996" bottom="0.78740157499999996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C56"/>
  <sheetViews>
    <sheetView zoomScale="50" zoomScaleNormal="50" workbookViewId="0">
      <selection activeCell="A37" sqref="A37"/>
    </sheetView>
  </sheetViews>
  <sheetFormatPr baseColWidth="10" defaultColWidth="11.5546875" defaultRowHeight="14.4" x14ac:dyDescent="0.3"/>
  <cols>
    <col min="1" max="2" width="11.5546875" style="5"/>
    <col min="3" max="3" width="1.109375" style="5" customWidth="1"/>
    <col min="4" max="5" width="11.5546875" style="5"/>
    <col min="6" max="6" width="2.6640625" style="5" customWidth="1"/>
    <col min="7" max="7" width="11.6640625" style="5" customWidth="1"/>
    <col min="8" max="8" width="11.5546875" style="5"/>
    <col min="9" max="9" width="1.109375" style="5" customWidth="1"/>
    <col min="10" max="10" width="11.6640625" style="5" customWidth="1"/>
    <col min="11" max="11" width="11.5546875" style="5"/>
    <col min="12" max="12" width="2.6640625" style="5" customWidth="1"/>
    <col min="13" max="13" width="11.6640625" style="5" customWidth="1"/>
    <col min="14" max="14" width="11.5546875" style="5"/>
    <col min="15" max="15" width="1.109375" style="5" customWidth="1"/>
    <col min="16" max="17" width="11.5546875" style="5"/>
    <col min="18" max="18" width="2.6640625" style="5" customWidth="1"/>
    <col min="19" max="20" width="11.5546875" style="5"/>
    <col min="21" max="21" width="1.109375" style="5" customWidth="1"/>
    <col min="22" max="22" width="11.6640625" style="5" customWidth="1"/>
    <col min="23" max="23" width="11.5546875" style="5"/>
    <col min="24" max="24" width="2.6640625" style="5" customWidth="1"/>
    <col min="25" max="26" width="11.5546875" style="5"/>
    <col min="27" max="27" width="1.109375" style="5" customWidth="1"/>
    <col min="28" max="16384" width="11.5546875" style="5"/>
  </cols>
  <sheetData>
    <row r="1" spans="1:29" x14ac:dyDescent="0.3">
      <c r="A1" s="4" t="str">
        <f>INDEX(StdDisziplinen[StdDisziplin],20)</f>
        <v>Basketball</v>
      </c>
      <c r="G1" s="4" t="str">
        <f>INDEX(StdDisziplinen[StdDisziplin],21)</f>
        <v>Fussball</v>
      </c>
      <c r="M1" s="4" t="str">
        <f>INDEX(StdDisziplinen[StdDisziplin],22)</f>
        <v>Handball</v>
      </c>
      <c r="S1" s="4" t="str">
        <f>INDEX(StdDisziplinen[StdDisziplin],23)</f>
        <v>Unihockey</v>
      </c>
      <c r="Y1" s="4" t="str">
        <f>INDEX(StdDisziplinen[StdDisziplin],24)</f>
        <v>Volleyball</v>
      </c>
    </row>
    <row r="2" spans="1:29" x14ac:dyDescent="0.3">
      <c r="A2" s="584" t="str">
        <f>INDEX(StdSkala[StdSkalaText],3)</f>
        <v>Knaben K1</v>
      </c>
      <c r="B2" s="584"/>
      <c r="C2" s="6"/>
      <c r="D2" s="584" t="str">
        <f>INDEX(StdSkala[StdSkalaText],1)</f>
        <v>Mädchen M1</v>
      </c>
      <c r="E2" s="584"/>
      <c r="G2" s="584" t="str">
        <f>$A$2</f>
        <v>Knaben K1</v>
      </c>
      <c r="H2" s="584"/>
      <c r="I2" s="6"/>
      <c r="J2" s="584" t="str">
        <f>$D$2</f>
        <v>Mädchen M1</v>
      </c>
      <c r="K2" s="584"/>
      <c r="M2" s="585" t="str">
        <f>$A$2</f>
        <v>Knaben K1</v>
      </c>
      <c r="N2" s="585"/>
      <c r="O2" s="240"/>
      <c r="P2" s="585" t="str">
        <f>$D$2</f>
        <v>Mädchen M1</v>
      </c>
      <c r="Q2" s="585"/>
      <c r="S2" s="584" t="str">
        <f>$A$2</f>
        <v>Knaben K1</v>
      </c>
      <c r="T2" s="584"/>
      <c r="U2" s="60"/>
      <c r="V2" s="584" t="str">
        <f>$D$2</f>
        <v>Mädchen M1</v>
      </c>
      <c r="W2" s="584"/>
      <c r="Y2" s="585" t="str">
        <f>$A$2</f>
        <v>Knaben K1</v>
      </c>
      <c r="Z2" s="585"/>
      <c r="AA2" s="240"/>
      <c r="AB2" s="585" t="str">
        <f>$D$2</f>
        <v>Mädchen M1</v>
      </c>
      <c r="AC2" s="585"/>
    </row>
    <row r="3" spans="1:29" x14ac:dyDescent="0.3">
      <c r="A3" s="5" t="s">
        <v>22</v>
      </c>
      <c r="B3" s="5" t="s">
        <v>7</v>
      </c>
      <c r="D3" s="5" t="s">
        <v>22</v>
      </c>
      <c r="E3" s="5" t="s">
        <v>7</v>
      </c>
      <c r="G3" s="7" t="s">
        <v>22</v>
      </c>
      <c r="H3" s="1" t="s">
        <v>7</v>
      </c>
      <c r="I3" s="1"/>
      <c r="J3" s="7" t="s">
        <v>22</v>
      </c>
      <c r="K3" s="1" t="s">
        <v>7</v>
      </c>
      <c r="M3" s="7" t="s">
        <v>22</v>
      </c>
      <c r="N3" s="1" t="s">
        <v>7</v>
      </c>
      <c r="P3" s="5" t="s">
        <v>22</v>
      </c>
      <c r="Q3" s="5" t="s">
        <v>7</v>
      </c>
      <c r="S3" s="5" t="s">
        <v>22</v>
      </c>
      <c r="T3" s="5" t="s">
        <v>7</v>
      </c>
      <c r="V3" s="7" t="s">
        <v>22</v>
      </c>
      <c r="W3" s="1" t="s">
        <v>7</v>
      </c>
      <c r="Y3" s="7" t="s">
        <v>22</v>
      </c>
      <c r="Z3" s="1" t="s">
        <v>7</v>
      </c>
      <c r="AB3" s="7" t="s">
        <v>22</v>
      </c>
      <c r="AC3" s="1" t="s">
        <v>7</v>
      </c>
    </row>
    <row r="4" spans="1:29" ht="14.4" customHeight="1" x14ac:dyDescent="0.3">
      <c r="A4" s="2">
        <v>164</v>
      </c>
      <c r="B4" s="2">
        <v>1</v>
      </c>
      <c r="C4" s="2"/>
      <c r="D4" s="2">
        <v>166</v>
      </c>
      <c r="E4" s="2">
        <v>1</v>
      </c>
      <c r="G4" s="2">
        <v>170</v>
      </c>
      <c r="H4" s="2">
        <v>1</v>
      </c>
      <c r="I4" s="2"/>
      <c r="J4" s="2">
        <v>186</v>
      </c>
      <c r="K4" s="2">
        <v>1</v>
      </c>
      <c r="M4" s="2">
        <v>160</v>
      </c>
      <c r="N4" s="2">
        <v>1</v>
      </c>
      <c r="P4" s="2">
        <v>164</v>
      </c>
      <c r="Q4" s="2">
        <v>1</v>
      </c>
      <c r="S4" s="2">
        <v>164</v>
      </c>
      <c r="T4" s="2">
        <v>1</v>
      </c>
      <c r="V4" s="2">
        <v>166</v>
      </c>
      <c r="W4" s="2">
        <v>1</v>
      </c>
      <c r="Y4" s="14">
        <v>1</v>
      </c>
      <c r="Z4" s="2">
        <v>2.7</v>
      </c>
      <c r="AB4" s="14">
        <v>1</v>
      </c>
      <c r="AC4" s="2">
        <v>2.7</v>
      </c>
    </row>
    <row r="5" spans="1:29" ht="14.4" customHeight="1" x14ac:dyDescent="0.3">
      <c r="A5" s="2">
        <v>157.30000000000001</v>
      </c>
      <c r="B5" s="2">
        <v>1.1000000000000001</v>
      </c>
      <c r="C5" s="2"/>
      <c r="D5" s="2">
        <v>159.30000000000001</v>
      </c>
      <c r="E5" s="2">
        <v>1.1000000000000001</v>
      </c>
      <c r="G5" s="2">
        <v>163.30000000000001</v>
      </c>
      <c r="H5" s="2">
        <v>1.1000000000000001</v>
      </c>
      <c r="I5" s="2"/>
      <c r="J5" s="2">
        <v>179.3</v>
      </c>
      <c r="K5" s="2">
        <v>1.1000000000000001</v>
      </c>
      <c r="M5" s="2">
        <v>153.30000000000001</v>
      </c>
      <c r="N5" s="2">
        <v>1.1000000000000001</v>
      </c>
      <c r="P5" s="2">
        <v>157.30000000000001</v>
      </c>
      <c r="Q5" s="2">
        <v>1.1000000000000001</v>
      </c>
      <c r="S5" s="2">
        <v>157.30000000000001</v>
      </c>
      <c r="T5" s="2">
        <v>1.1000000000000001</v>
      </c>
      <c r="V5" s="2">
        <v>159.30000000000001</v>
      </c>
      <c r="W5" s="2">
        <v>1.1000000000000001</v>
      </c>
      <c r="Y5" s="14">
        <v>2</v>
      </c>
      <c r="Z5" s="2">
        <v>2.8</v>
      </c>
      <c r="AB5" s="14">
        <v>2</v>
      </c>
      <c r="AC5" s="2">
        <v>2.8</v>
      </c>
    </row>
    <row r="6" spans="1:29" ht="14.4" customHeight="1" x14ac:dyDescent="0.3">
      <c r="A6" s="2">
        <v>150.80000000000001</v>
      </c>
      <c r="B6" s="2">
        <v>1.2</v>
      </c>
      <c r="C6" s="2"/>
      <c r="D6" s="2">
        <v>152.80000000000001</v>
      </c>
      <c r="E6" s="2">
        <v>1.2</v>
      </c>
      <c r="G6" s="2">
        <v>156.80000000000001</v>
      </c>
      <c r="H6" s="2">
        <v>1.2</v>
      </c>
      <c r="I6" s="2"/>
      <c r="J6" s="2">
        <v>172.8</v>
      </c>
      <c r="K6" s="2">
        <v>1.2</v>
      </c>
      <c r="M6" s="2">
        <v>146.80000000000001</v>
      </c>
      <c r="N6" s="2">
        <v>1.2</v>
      </c>
      <c r="P6" s="2">
        <v>150.80000000000001</v>
      </c>
      <c r="Q6" s="2">
        <v>1.2</v>
      </c>
      <c r="S6" s="2">
        <v>150.80000000000001</v>
      </c>
      <c r="T6" s="2">
        <v>1.2</v>
      </c>
      <c r="V6" s="2">
        <v>152.80000000000001</v>
      </c>
      <c r="W6" s="2">
        <v>1.2</v>
      </c>
      <c r="Y6" s="14">
        <v>3</v>
      </c>
      <c r="Z6" s="8">
        <v>2.9</v>
      </c>
      <c r="AB6" s="14">
        <v>3</v>
      </c>
      <c r="AC6" s="8">
        <v>2.9</v>
      </c>
    </row>
    <row r="7" spans="1:29" ht="14.4" customHeight="1" x14ac:dyDescent="0.3">
      <c r="A7" s="2">
        <v>144.5</v>
      </c>
      <c r="B7" s="2">
        <v>1.3</v>
      </c>
      <c r="C7" s="2"/>
      <c r="D7" s="2">
        <v>146.5</v>
      </c>
      <c r="E7" s="2">
        <v>1.3</v>
      </c>
      <c r="G7" s="2">
        <v>150.5</v>
      </c>
      <c r="H7" s="2">
        <v>1.3</v>
      </c>
      <c r="I7" s="2"/>
      <c r="J7" s="2">
        <v>166.5</v>
      </c>
      <c r="K7" s="2">
        <v>1.3</v>
      </c>
      <c r="M7" s="2">
        <v>140.5</v>
      </c>
      <c r="N7" s="2">
        <v>1.3</v>
      </c>
      <c r="P7" s="2">
        <v>144.5</v>
      </c>
      <c r="Q7" s="2">
        <v>1.3</v>
      </c>
      <c r="S7" s="2">
        <v>144.5</v>
      </c>
      <c r="T7" s="2">
        <v>1.3</v>
      </c>
      <c r="V7" s="2">
        <v>146.5</v>
      </c>
      <c r="W7" s="2">
        <v>1.3</v>
      </c>
      <c r="Y7" s="14">
        <v>4</v>
      </c>
      <c r="Z7" s="2">
        <v>3</v>
      </c>
      <c r="AB7" s="14">
        <v>4</v>
      </c>
      <c r="AC7" s="2">
        <v>3</v>
      </c>
    </row>
    <row r="8" spans="1:29" ht="14.4" customHeight="1" x14ac:dyDescent="0.3">
      <c r="A8" s="2">
        <v>138.4</v>
      </c>
      <c r="B8" s="2">
        <v>1.4</v>
      </c>
      <c r="C8" s="2"/>
      <c r="D8" s="2">
        <v>140.4</v>
      </c>
      <c r="E8" s="2">
        <v>1.4</v>
      </c>
      <c r="G8" s="2">
        <v>144.4</v>
      </c>
      <c r="H8" s="2">
        <v>1.4</v>
      </c>
      <c r="I8" s="2"/>
      <c r="J8" s="2">
        <v>160.4</v>
      </c>
      <c r="K8" s="2">
        <v>1.4</v>
      </c>
      <c r="M8" s="2">
        <v>134.4</v>
      </c>
      <c r="N8" s="2">
        <v>1.4</v>
      </c>
      <c r="P8" s="2">
        <v>138.4</v>
      </c>
      <c r="Q8" s="2">
        <v>1.4</v>
      </c>
      <c r="S8" s="2">
        <v>138.4</v>
      </c>
      <c r="T8" s="2">
        <v>1.4</v>
      </c>
      <c r="V8" s="2">
        <v>140.4</v>
      </c>
      <c r="W8" s="2">
        <v>1.4</v>
      </c>
      <c r="Y8" s="14">
        <v>5</v>
      </c>
      <c r="Z8" s="2">
        <v>3.1</v>
      </c>
      <c r="AB8" s="14">
        <v>5</v>
      </c>
      <c r="AC8" s="2">
        <v>3.1</v>
      </c>
    </row>
    <row r="9" spans="1:29" ht="14.4" customHeight="1" x14ac:dyDescent="0.3">
      <c r="A9" s="2">
        <v>132.5</v>
      </c>
      <c r="B9" s="2">
        <v>1.5</v>
      </c>
      <c r="C9" s="2"/>
      <c r="D9" s="2">
        <v>134.5</v>
      </c>
      <c r="E9" s="2">
        <v>1.5</v>
      </c>
      <c r="G9" s="2">
        <v>138.5</v>
      </c>
      <c r="H9" s="2">
        <v>1.5</v>
      </c>
      <c r="I9" s="2"/>
      <c r="J9" s="2">
        <v>154.5</v>
      </c>
      <c r="K9" s="2">
        <v>1.5</v>
      </c>
      <c r="M9" s="2">
        <v>128.5</v>
      </c>
      <c r="N9" s="2">
        <v>1.5</v>
      </c>
      <c r="P9" s="2">
        <v>132.5</v>
      </c>
      <c r="Q9" s="2">
        <v>1.5</v>
      </c>
      <c r="S9" s="2">
        <v>132.5</v>
      </c>
      <c r="T9" s="2">
        <v>1.5</v>
      </c>
      <c r="V9" s="2">
        <v>134.5</v>
      </c>
      <c r="W9" s="2">
        <v>1.5</v>
      </c>
      <c r="Y9" s="14">
        <v>6</v>
      </c>
      <c r="Z9" s="2">
        <v>3.2</v>
      </c>
      <c r="AB9" s="14">
        <v>6</v>
      </c>
      <c r="AC9" s="2">
        <v>3.2</v>
      </c>
    </row>
    <row r="10" spans="1:29" ht="14.4" customHeight="1" x14ac:dyDescent="0.3">
      <c r="A10" s="2">
        <v>126.8</v>
      </c>
      <c r="B10" s="2">
        <v>1.6</v>
      </c>
      <c r="C10" s="2"/>
      <c r="D10" s="2">
        <v>128.80000000000001</v>
      </c>
      <c r="E10" s="2">
        <v>1.6</v>
      </c>
      <c r="G10" s="2">
        <v>132.80000000000001</v>
      </c>
      <c r="H10" s="2">
        <v>1.6</v>
      </c>
      <c r="I10" s="2"/>
      <c r="J10" s="2">
        <v>148.80000000000001</v>
      </c>
      <c r="K10" s="2">
        <v>1.6</v>
      </c>
      <c r="M10" s="2">
        <v>122.8</v>
      </c>
      <c r="N10" s="2">
        <v>1.6</v>
      </c>
      <c r="P10" s="2">
        <v>126.8</v>
      </c>
      <c r="Q10" s="2">
        <v>1.6</v>
      </c>
      <c r="S10" s="2">
        <v>126.8</v>
      </c>
      <c r="T10" s="2">
        <v>1.6</v>
      </c>
      <c r="V10" s="2">
        <v>128.80000000000001</v>
      </c>
      <c r="W10" s="2">
        <v>1.6</v>
      </c>
      <c r="Y10" s="14">
        <v>7</v>
      </c>
      <c r="Z10" s="2">
        <v>3.3</v>
      </c>
      <c r="AB10" s="14">
        <v>7</v>
      </c>
      <c r="AC10" s="2">
        <v>3.3</v>
      </c>
    </row>
    <row r="11" spans="1:29" ht="14.4" customHeight="1" x14ac:dyDescent="0.3">
      <c r="A11" s="2">
        <v>121.3</v>
      </c>
      <c r="B11" s="2">
        <v>1.7</v>
      </c>
      <c r="C11" s="2"/>
      <c r="D11" s="2">
        <v>123.3</v>
      </c>
      <c r="E11" s="2">
        <v>1.7</v>
      </c>
      <c r="G11" s="2">
        <v>127.3</v>
      </c>
      <c r="H11" s="2">
        <v>1.7</v>
      </c>
      <c r="I11" s="2"/>
      <c r="J11" s="2">
        <v>143.30000000000001</v>
      </c>
      <c r="K11" s="2">
        <v>1.7</v>
      </c>
      <c r="M11" s="2">
        <v>117.3</v>
      </c>
      <c r="N11" s="2">
        <v>1.7</v>
      </c>
      <c r="P11" s="2">
        <v>121.3</v>
      </c>
      <c r="Q11" s="2">
        <v>1.7</v>
      </c>
      <c r="S11" s="2">
        <v>121.3</v>
      </c>
      <c r="T11" s="2">
        <v>1.7</v>
      </c>
      <c r="V11" s="2">
        <v>123.3</v>
      </c>
      <c r="W11" s="2">
        <v>1.7</v>
      </c>
      <c r="Y11" s="14">
        <v>8</v>
      </c>
      <c r="Z11" s="2">
        <v>3.4</v>
      </c>
      <c r="AB11" s="14">
        <v>8</v>
      </c>
      <c r="AC11" s="2">
        <v>3.4</v>
      </c>
    </row>
    <row r="12" spans="1:29" ht="14.4" customHeight="1" x14ac:dyDescent="0.3">
      <c r="A12" s="2">
        <v>116</v>
      </c>
      <c r="B12" s="2">
        <v>1.8</v>
      </c>
      <c r="C12" s="2"/>
      <c r="D12" s="2">
        <v>118</v>
      </c>
      <c r="E12" s="2">
        <v>1.8</v>
      </c>
      <c r="G12" s="2">
        <v>122</v>
      </c>
      <c r="H12" s="2">
        <v>1.8</v>
      </c>
      <c r="I12" s="2"/>
      <c r="J12" s="2">
        <v>138</v>
      </c>
      <c r="K12" s="2">
        <v>1.8</v>
      </c>
      <c r="M12" s="2">
        <v>112</v>
      </c>
      <c r="N12" s="2">
        <v>1.8</v>
      </c>
      <c r="P12" s="2">
        <v>116</v>
      </c>
      <c r="Q12" s="2">
        <v>1.8</v>
      </c>
      <c r="S12" s="2">
        <v>116</v>
      </c>
      <c r="T12" s="2">
        <v>1.8</v>
      </c>
      <c r="V12" s="2">
        <v>118</v>
      </c>
      <c r="W12" s="2">
        <v>1.8</v>
      </c>
      <c r="Y12" s="14">
        <v>9</v>
      </c>
      <c r="Z12" s="2">
        <v>3.5</v>
      </c>
      <c r="AB12" s="14">
        <v>9</v>
      </c>
      <c r="AC12" s="2">
        <v>3.5</v>
      </c>
    </row>
    <row r="13" spans="1:29" ht="14.4" customHeight="1" x14ac:dyDescent="0.3">
      <c r="A13" s="2">
        <v>110.9</v>
      </c>
      <c r="B13" s="2">
        <v>1.9</v>
      </c>
      <c r="C13" s="2"/>
      <c r="D13" s="2">
        <v>112.9</v>
      </c>
      <c r="E13" s="2">
        <v>1.9</v>
      </c>
      <c r="G13" s="2">
        <v>116.9</v>
      </c>
      <c r="H13" s="2">
        <v>1.9</v>
      </c>
      <c r="I13" s="2"/>
      <c r="J13" s="2">
        <v>132.9</v>
      </c>
      <c r="K13" s="2">
        <v>1.9</v>
      </c>
      <c r="M13" s="2">
        <v>106.9</v>
      </c>
      <c r="N13" s="2">
        <v>1.9</v>
      </c>
      <c r="P13" s="2">
        <v>110.9</v>
      </c>
      <c r="Q13" s="2">
        <v>1.9</v>
      </c>
      <c r="S13" s="2">
        <v>110.9</v>
      </c>
      <c r="T13" s="2">
        <v>1.9</v>
      </c>
      <c r="V13" s="2">
        <v>112.9</v>
      </c>
      <c r="W13" s="2">
        <v>1.9</v>
      </c>
      <c r="Y13" s="14">
        <v>10</v>
      </c>
      <c r="Z13" s="2">
        <v>3.6</v>
      </c>
      <c r="AB13" s="14">
        <v>10</v>
      </c>
      <c r="AC13" s="2">
        <v>3.6</v>
      </c>
    </row>
    <row r="14" spans="1:29" ht="14.4" customHeight="1" x14ac:dyDescent="0.3">
      <c r="A14" s="2">
        <v>106</v>
      </c>
      <c r="B14" s="2">
        <v>2</v>
      </c>
      <c r="C14" s="2"/>
      <c r="D14" s="2">
        <v>108</v>
      </c>
      <c r="E14" s="2">
        <v>2</v>
      </c>
      <c r="G14" s="2">
        <v>112</v>
      </c>
      <c r="H14" s="2">
        <v>2</v>
      </c>
      <c r="I14" s="2"/>
      <c r="J14" s="2">
        <v>128</v>
      </c>
      <c r="K14" s="2">
        <v>2</v>
      </c>
      <c r="M14" s="2">
        <v>102</v>
      </c>
      <c r="N14" s="2">
        <v>2</v>
      </c>
      <c r="P14" s="2">
        <v>106</v>
      </c>
      <c r="Q14" s="2">
        <v>2</v>
      </c>
      <c r="S14" s="2">
        <v>106</v>
      </c>
      <c r="T14" s="2">
        <v>2</v>
      </c>
      <c r="V14" s="2">
        <v>108</v>
      </c>
      <c r="W14" s="2">
        <v>2</v>
      </c>
      <c r="Y14" s="14">
        <v>11</v>
      </c>
      <c r="Z14" s="2">
        <v>3.7</v>
      </c>
      <c r="AB14" s="14">
        <v>11</v>
      </c>
      <c r="AC14" s="2">
        <v>3.7</v>
      </c>
    </row>
    <row r="15" spans="1:29" ht="14.4" customHeight="1" x14ac:dyDescent="0.3">
      <c r="A15" s="2">
        <v>101.3</v>
      </c>
      <c r="B15" s="2">
        <v>2.1</v>
      </c>
      <c r="C15" s="2"/>
      <c r="D15" s="2">
        <v>103.3</v>
      </c>
      <c r="E15" s="2">
        <v>2.1</v>
      </c>
      <c r="G15" s="2">
        <v>107.3</v>
      </c>
      <c r="H15" s="2">
        <v>2.1</v>
      </c>
      <c r="I15" s="2"/>
      <c r="J15" s="2">
        <v>123.3</v>
      </c>
      <c r="K15" s="2">
        <v>2.1</v>
      </c>
      <c r="M15" s="2">
        <v>97.3</v>
      </c>
      <c r="N15" s="2">
        <v>2.1</v>
      </c>
      <c r="P15" s="2">
        <v>101.3</v>
      </c>
      <c r="Q15" s="2">
        <v>2.1</v>
      </c>
      <c r="S15" s="2">
        <v>101.3</v>
      </c>
      <c r="T15" s="2">
        <v>2.1</v>
      </c>
      <c r="V15" s="2">
        <v>103.3</v>
      </c>
      <c r="W15" s="2">
        <v>2.1</v>
      </c>
      <c r="Y15" s="14">
        <v>12</v>
      </c>
      <c r="Z15" s="2">
        <v>3.8</v>
      </c>
      <c r="AB15" s="14">
        <v>12</v>
      </c>
      <c r="AC15" s="2">
        <v>3.8</v>
      </c>
    </row>
    <row r="16" spans="1:29" ht="14.4" customHeight="1" x14ac:dyDescent="0.3">
      <c r="A16" s="2">
        <v>96.8</v>
      </c>
      <c r="B16" s="2">
        <v>2.2000000000000002</v>
      </c>
      <c r="C16" s="2"/>
      <c r="D16" s="2">
        <v>98.8</v>
      </c>
      <c r="E16" s="2">
        <v>2.2000000000000002</v>
      </c>
      <c r="G16" s="2">
        <v>102.8</v>
      </c>
      <c r="H16" s="2">
        <v>2.2000000000000002</v>
      </c>
      <c r="I16" s="2"/>
      <c r="J16" s="2">
        <v>118.8</v>
      </c>
      <c r="K16" s="2">
        <v>2.2000000000000002</v>
      </c>
      <c r="M16" s="2">
        <v>92.8</v>
      </c>
      <c r="N16" s="2">
        <v>2.2000000000000002</v>
      </c>
      <c r="P16" s="2">
        <v>96.8</v>
      </c>
      <c r="Q16" s="2">
        <v>2.2000000000000002</v>
      </c>
      <c r="S16" s="2">
        <v>96.8</v>
      </c>
      <c r="T16" s="2">
        <v>2.2000000000000002</v>
      </c>
      <c r="V16" s="2">
        <v>98.8</v>
      </c>
      <c r="W16" s="2">
        <v>2.2000000000000002</v>
      </c>
      <c r="Y16" s="14">
        <v>13</v>
      </c>
      <c r="Z16" s="2">
        <v>3.9</v>
      </c>
      <c r="AB16" s="14">
        <v>13</v>
      </c>
      <c r="AC16" s="2">
        <v>3.9</v>
      </c>
    </row>
    <row r="17" spans="1:29" ht="14.4" customHeight="1" x14ac:dyDescent="0.3">
      <c r="A17" s="2">
        <v>92.5</v>
      </c>
      <c r="B17" s="2">
        <v>2.2999999999999998</v>
      </c>
      <c r="C17" s="2"/>
      <c r="D17" s="2">
        <v>94.5</v>
      </c>
      <c r="E17" s="2">
        <v>2.2999999999999998</v>
      </c>
      <c r="G17" s="2">
        <v>98.5</v>
      </c>
      <c r="H17" s="2">
        <v>2.2999999999999998</v>
      </c>
      <c r="I17" s="2"/>
      <c r="J17" s="2">
        <v>114.5</v>
      </c>
      <c r="K17" s="2">
        <v>2.2999999999999998</v>
      </c>
      <c r="M17" s="2">
        <v>88.5</v>
      </c>
      <c r="N17" s="2">
        <v>2.2999999999999998</v>
      </c>
      <c r="P17" s="2">
        <v>92.5</v>
      </c>
      <c r="Q17" s="2">
        <v>2.2999999999999998</v>
      </c>
      <c r="S17" s="2">
        <v>92.5</v>
      </c>
      <c r="T17" s="2">
        <v>2.2999999999999998</v>
      </c>
      <c r="V17" s="2">
        <v>94.5</v>
      </c>
      <c r="W17" s="2">
        <v>2.2999999999999998</v>
      </c>
      <c r="Y17" s="14">
        <v>14</v>
      </c>
      <c r="Z17" s="2">
        <v>4</v>
      </c>
      <c r="AB17" s="14">
        <v>14</v>
      </c>
      <c r="AC17" s="2">
        <v>4</v>
      </c>
    </row>
    <row r="18" spans="1:29" ht="14.4" customHeight="1" x14ac:dyDescent="0.3">
      <c r="A18" s="2">
        <v>88.4</v>
      </c>
      <c r="B18" s="2">
        <v>2.4</v>
      </c>
      <c r="C18" s="2"/>
      <c r="D18" s="2">
        <v>90.4</v>
      </c>
      <c r="E18" s="2">
        <v>2.4</v>
      </c>
      <c r="G18" s="2">
        <v>94.4</v>
      </c>
      <c r="H18" s="2">
        <v>2.4</v>
      </c>
      <c r="I18" s="2"/>
      <c r="J18" s="2">
        <v>110.4</v>
      </c>
      <c r="K18" s="2">
        <v>2.4</v>
      </c>
      <c r="M18" s="2">
        <v>84.4</v>
      </c>
      <c r="N18" s="2">
        <v>2.4</v>
      </c>
      <c r="P18" s="2">
        <v>88.4</v>
      </c>
      <c r="Q18" s="2">
        <v>2.4</v>
      </c>
      <c r="S18" s="2">
        <v>88.4</v>
      </c>
      <c r="T18" s="2">
        <v>2.4</v>
      </c>
      <c r="V18" s="2">
        <v>90.4</v>
      </c>
      <c r="W18" s="2">
        <v>2.4</v>
      </c>
      <c r="Y18" s="14">
        <v>15</v>
      </c>
      <c r="Z18" s="2">
        <v>4.0999999999999996</v>
      </c>
      <c r="AB18" s="14">
        <v>15</v>
      </c>
      <c r="AC18" s="2">
        <v>4.0999999999999996</v>
      </c>
    </row>
    <row r="19" spans="1:29" ht="14.4" customHeight="1" x14ac:dyDescent="0.3">
      <c r="A19" s="2">
        <v>84.5</v>
      </c>
      <c r="B19" s="2">
        <v>2.5</v>
      </c>
      <c r="C19" s="2"/>
      <c r="D19" s="2">
        <v>86.5</v>
      </c>
      <c r="E19" s="2">
        <v>2.5</v>
      </c>
      <c r="G19" s="2">
        <v>90.5</v>
      </c>
      <c r="H19" s="2">
        <v>2.5</v>
      </c>
      <c r="I19" s="2"/>
      <c r="J19" s="2">
        <v>106.5</v>
      </c>
      <c r="K19" s="2">
        <v>2.5</v>
      </c>
      <c r="M19" s="2">
        <v>80.5</v>
      </c>
      <c r="N19" s="2">
        <v>2.5</v>
      </c>
      <c r="P19" s="2">
        <v>84.5</v>
      </c>
      <c r="Q19" s="2">
        <v>2.5</v>
      </c>
      <c r="S19" s="2">
        <v>84.5</v>
      </c>
      <c r="T19" s="2">
        <v>2.5</v>
      </c>
      <c r="V19" s="2">
        <v>86.5</v>
      </c>
      <c r="W19" s="2">
        <v>2.5</v>
      </c>
      <c r="Y19" s="14">
        <v>16</v>
      </c>
      <c r="Z19" s="2">
        <v>4.2</v>
      </c>
      <c r="AB19" s="14">
        <v>16</v>
      </c>
      <c r="AC19" s="2">
        <v>4.2</v>
      </c>
    </row>
    <row r="20" spans="1:29" ht="14.4" customHeight="1" x14ac:dyDescent="0.3">
      <c r="A20" s="2">
        <v>80.8</v>
      </c>
      <c r="B20" s="2">
        <v>2.6</v>
      </c>
      <c r="C20" s="2"/>
      <c r="D20" s="2">
        <v>82.8</v>
      </c>
      <c r="E20" s="2">
        <v>2.6</v>
      </c>
      <c r="G20" s="2">
        <v>86.8</v>
      </c>
      <c r="H20" s="2">
        <v>2.6</v>
      </c>
      <c r="I20" s="2"/>
      <c r="J20" s="2">
        <v>102.8</v>
      </c>
      <c r="K20" s="2">
        <v>2.6</v>
      </c>
      <c r="M20" s="2">
        <v>76.8</v>
      </c>
      <c r="N20" s="2">
        <v>2.6</v>
      </c>
      <c r="P20" s="2">
        <v>80.8</v>
      </c>
      <c r="Q20" s="2">
        <v>2.6</v>
      </c>
      <c r="S20" s="2">
        <v>80.8</v>
      </c>
      <c r="T20" s="2">
        <v>2.6</v>
      </c>
      <c r="V20" s="2">
        <v>82.8</v>
      </c>
      <c r="W20" s="2">
        <v>2.6</v>
      </c>
      <c r="Y20" s="14">
        <v>17</v>
      </c>
      <c r="Z20" s="2">
        <v>4.4000000000000004</v>
      </c>
      <c r="AB20" s="14">
        <v>17</v>
      </c>
      <c r="AC20" s="2">
        <v>4.4000000000000004</v>
      </c>
    </row>
    <row r="21" spans="1:29" ht="14.4" customHeight="1" x14ac:dyDescent="0.3">
      <c r="A21" s="2">
        <v>77.3</v>
      </c>
      <c r="B21" s="2">
        <v>2.7</v>
      </c>
      <c r="C21" s="2"/>
      <c r="D21" s="2">
        <v>79.3</v>
      </c>
      <c r="E21" s="2">
        <v>2.7</v>
      </c>
      <c r="G21" s="2">
        <v>83.3</v>
      </c>
      <c r="H21" s="2">
        <v>2.7</v>
      </c>
      <c r="I21" s="2"/>
      <c r="J21" s="2">
        <v>99.3</v>
      </c>
      <c r="K21" s="2">
        <v>2.7</v>
      </c>
      <c r="M21" s="2">
        <v>73.3</v>
      </c>
      <c r="N21" s="2">
        <v>2.7</v>
      </c>
      <c r="P21" s="2">
        <v>77.3</v>
      </c>
      <c r="Q21" s="2">
        <v>2.7</v>
      </c>
      <c r="S21" s="2">
        <v>77.3</v>
      </c>
      <c r="T21" s="2">
        <v>2.7</v>
      </c>
      <c r="V21" s="2">
        <v>79.3</v>
      </c>
      <c r="W21" s="2">
        <v>2.7</v>
      </c>
      <c r="Y21" s="14">
        <v>18</v>
      </c>
      <c r="Z21" s="2">
        <v>4.5</v>
      </c>
      <c r="AB21" s="14">
        <v>18</v>
      </c>
      <c r="AC21" s="2">
        <v>4.5</v>
      </c>
    </row>
    <row r="22" spans="1:29" ht="14.4" customHeight="1" x14ac:dyDescent="0.3">
      <c r="A22" s="2">
        <v>74</v>
      </c>
      <c r="B22" s="2">
        <v>2.8</v>
      </c>
      <c r="C22" s="2"/>
      <c r="D22" s="2">
        <v>76</v>
      </c>
      <c r="E22" s="2">
        <v>2.8</v>
      </c>
      <c r="G22" s="2">
        <v>80</v>
      </c>
      <c r="H22" s="2">
        <v>2.8</v>
      </c>
      <c r="I22" s="2"/>
      <c r="J22" s="2">
        <v>96</v>
      </c>
      <c r="K22" s="2">
        <v>2.8</v>
      </c>
      <c r="M22" s="2">
        <v>70</v>
      </c>
      <c r="N22" s="2">
        <v>2.8</v>
      </c>
      <c r="P22" s="2">
        <v>74</v>
      </c>
      <c r="Q22" s="2">
        <v>2.8</v>
      </c>
      <c r="S22" s="2">
        <v>74</v>
      </c>
      <c r="T22" s="2">
        <v>2.8</v>
      </c>
      <c r="V22" s="2">
        <v>76</v>
      </c>
      <c r="W22" s="2">
        <v>2.8</v>
      </c>
      <c r="Y22" s="14">
        <v>19</v>
      </c>
      <c r="Z22" s="2">
        <v>4.5999999999999996</v>
      </c>
      <c r="AB22" s="14">
        <v>19</v>
      </c>
      <c r="AC22" s="2">
        <v>4.5999999999999996</v>
      </c>
    </row>
    <row r="23" spans="1:29" ht="14.4" customHeight="1" x14ac:dyDescent="0.3">
      <c r="A23" s="2">
        <v>70.900000000000006</v>
      </c>
      <c r="B23" s="2">
        <v>2.9</v>
      </c>
      <c r="C23" s="2"/>
      <c r="D23" s="2">
        <v>72.900000000000006</v>
      </c>
      <c r="E23" s="2">
        <v>2.9</v>
      </c>
      <c r="G23" s="2">
        <v>76.900000000000006</v>
      </c>
      <c r="H23" s="2">
        <v>2.9</v>
      </c>
      <c r="I23" s="2"/>
      <c r="J23" s="2">
        <v>92.9</v>
      </c>
      <c r="K23" s="2">
        <v>2.9</v>
      </c>
      <c r="M23" s="2">
        <v>66.900000000000006</v>
      </c>
      <c r="N23" s="2">
        <v>2.9</v>
      </c>
      <c r="P23" s="2">
        <v>70.900000000000006</v>
      </c>
      <c r="Q23" s="2">
        <v>2.9</v>
      </c>
      <c r="S23" s="2">
        <v>70.900000000000006</v>
      </c>
      <c r="T23" s="2">
        <v>2.9</v>
      </c>
      <c r="V23" s="2">
        <v>72.900000000000006</v>
      </c>
      <c r="W23" s="2">
        <v>2.9</v>
      </c>
      <c r="Y23" s="14">
        <v>20</v>
      </c>
      <c r="Z23" s="2">
        <v>4.8</v>
      </c>
      <c r="AB23" s="14">
        <v>20</v>
      </c>
      <c r="AC23" s="2">
        <v>4.8</v>
      </c>
    </row>
    <row r="24" spans="1:29" ht="14.4" customHeight="1" x14ac:dyDescent="0.3">
      <c r="A24" s="2">
        <v>68</v>
      </c>
      <c r="B24" s="2">
        <v>3</v>
      </c>
      <c r="C24" s="2"/>
      <c r="D24" s="2">
        <v>70</v>
      </c>
      <c r="E24" s="2">
        <v>3</v>
      </c>
      <c r="G24" s="2">
        <v>74</v>
      </c>
      <c r="H24" s="2">
        <v>3</v>
      </c>
      <c r="I24" s="2"/>
      <c r="J24" s="2">
        <v>90</v>
      </c>
      <c r="K24" s="2">
        <v>3</v>
      </c>
      <c r="M24" s="2">
        <v>64</v>
      </c>
      <c r="N24" s="2">
        <v>3</v>
      </c>
      <c r="P24" s="2">
        <v>68</v>
      </c>
      <c r="Q24" s="2">
        <v>3</v>
      </c>
      <c r="S24" s="2">
        <v>68</v>
      </c>
      <c r="T24" s="2">
        <v>3</v>
      </c>
      <c r="V24" s="2">
        <v>70</v>
      </c>
      <c r="W24" s="2">
        <v>3</v>
      </c>
      <c r="Y24" s="14">
        <v>21</v>
      </c>
      <c r="Z24" s="2">
        <v>4.9000000000000004</v>
      </c>
      <c r="AB24" s="14">
        <v>21</v>
      </c>
      <c r="AC24" s="2">
        <v>4.9000000000000004</v>
      </c>
    </row>
    <row r="25" spans="1:29" ht="14.4" customHeight="1" x14ac:dyDescent="0.3">
      <c r="A25" s="2">
        <v>65.3</v>
      </c>
      <c r="B25" s="2">
        <v>3.1</v>
      </c>
      <c r="C25" s="2"/>
      <c r="D25" s="2">
        <v>67.3</v>
      </c>
      <c r="E25" s="2">
        <v>3.1</v>
      </c>
      <c r="G25" s="2">
        <v>71.3</v>
      </c>
      <c r="H25" s="2">
        <v>3.1</v>
      </c>
      <c r="I25" s="2"/>
      <c r="J25" s="2">
        <v>87.3</v>
      </c>
      <c r="K25" s="2">
        <v>3.1</v>
      </c>
      <c r="M25" s="2">
        <v>61.3</v>
      </c>
      <c r="N25" s="2">
        <v>3.1</v>
      </c>
      <c r="P25" s="2">
        <v>65.3</v>
      </c>
      <c r="Q25" s="2">
        <v>3.1</v>
      </c>
      <c r="S25" s="2">
        <v>65.3</v>
      </c>
      <c r="T25" s="2">
        <v>3.1</v>
      </c>
      <c r="V25" s="2">
        <v>67.3</v>
      </c>
      <c r="W25" s="2">
        <v>3.1</v>
      </c>
      <c r="Y25" s="14">
        <v>22</v>
      </c>
      <c r="Z25" s="2">
        <v>5</v>
      </c>
      <c r="AB25" s="14">
        <v>22</v>
      </c>
      <c r="AC25" s="2">
        <v>5</v>
      </c>
    </row>
    <row r="26" spans="1:29" ht="14.4" customHeight="1" x14ac:dyDescent="0.3">
      <c r="A26" s="2">
        <v>62.8</v>
      </c>
      <c r="B26" s="2">
        <v>3.2</v>
      </c>
      <c r="C26" s="2"/>
      <c r="D26" s="2">
        <v>64.8</v>
      </c>
      <c r="E26" s="2">
        <v>3.2</v>
      </c>
      <c r="G26" s="2">
        <v>68.8</v>
      </c>
      <c r="H26" s="2">
        <v>3.2</v>
      </c>
      <c r="I26" s="2"/>
      <c r="J26" s="2">
        <v>84.8</v>
      </c>
      <c r="K26" s="2">
        <v>3.2</v>
      </c>
      <c r="M26" s="2">
        <v>58.8</v>
      </c>
      <c r="N26" s="2">
        <v>3.2</v>
      </c>
      <c r="P26" s="2">
        <v>62.8</v>
      </c>
      <c r="Q26" s="2">
        <v>3.2</v>
      </c>
      <c r="S26" s="2">
        <v>62.8</v>
      </c>
      <c r="T26" s="2">
        <v>3.2</v>
      </c>
      <c r="V26" s="2">
        <v>64.8</v>
      </c>
      <c r="W26" s="2">
        <v>3.2</v>
      </c>
      <c r="Y26" s="14">
        <v>23</v>
      </c>
      <c r="Z26" s="2">
        <v>5.0999999999999996</v>
      </c>
      <c r="AB26" s="14">
        <v>23</v>
      </c>
      <c r="AC26" s="2">
        <v>5.0999999999999996</v>
      </c>
    </row>
    <row r="27" spans="1:29" ht="14.4" customHeight="1" x14ac:dyDescent="0.3">
      <c r="A27" s="2">
        <v>60.5</v>
      </c>
      <c r="B27" s="2">
        <v>3.3</v>
      </c>
      <c r="C27" s="2"/>
      <c r="D27" s="2">
        <v>62.5</v>
      </c>
      <c r="E27" s="2">
        <v>3.3</v>
      </c>
      <c r="G27" s="2">
        <v>66.5</v>
      </c>
      <c r="H27" s="2">
        <v>3.3</v>
      </c>
      <c r="I27" s="2"/>
      <c r="J27" s="2">
        <v>82.5</v>
      </c>
      <c r="K27" s="2">
        <v>3.3</v>
      </c>
      <c r="M27" s="2">
        <v>56.5</v>
      </c>
      <c r="N27" s="2">
        <v>3.3</v>
      </c>
      <c r="P27" s="2">
        <v>60.5</v>
      </c>
      <c r="Q27" s="2">
        <v>3.3</v>
      </c>
      <c r="S27" s="2">
        <v>60.5</v>
      </c>
      <c r="T27" s="2">
        <v>3.3</v>
      </c>
      <c r="V27" s="2">
        <v>62.5</v>
      </c>
      <c r="W27" s="2">
        <v>3.3</v>
      </c>
      <c r="Y27" s="14">
        <v>24</v>
      </c>
      <c r="Z27" s="2">
        <v>5.2</v>
      </c>
      <c r="AB27" s="14">
        <v>24</v>
      </c>
      <c r="AC27" s="2">
        <v>5.2</v>
      </c>
    </row>
    <row r="28" spans="1:29" ht="14.4" customHeight="1" x14ac:dyDescent="0.3">
      <c r="A28" s="2">
        <v>58.4</v>
      </c>
      <c r="B28" s="2">
        <v>3.4</v>
      </c>
      <c r="C28" s="2"/>
      <c r="D28" s="2">
        <v>60.4</v>
      </c>
      <c r="E28" s="2">
        <v>3.4</v>
      </c>
      <c r="G28" s="2">
        <v>64.400000000000006</v>
      </c>
      <c r="H28" s="2">
        <v>3.4</v>
      </c>
      <c r="I28" s="2"/>
      <c r="J28" s="2">
        <v>80.400000000000006</v>
      </c>
      <c r="K28" s="2">
        <v>3.4</v>
      </c>
      <c r="M28" s="2">
        <v>54.4</v>
      </c>
      <c r="N28" s="2">
        <v>3.4</v>
      </c>
      <c r="P28" s="2">
        <v>58.4</v>
      </c>
      <c r="Q28" s="2">
        <v>3.4</v>
      </c>
      <c r="S28" s="2">
        <v>58.4</v>
      </c>
      <c r="T28" s="2">
        <v>3.4</v>
      </c>
      <c r="V28" s="2">
        <v>60.4</v>
      </c>
      <c r="W28" s="2">
        <v>3.4</v>
      </c>
      <c r="Y28" s="14">
        <v>25</v>
      </c>
      <c r="Z28" s="2">
        <v>5.4</v>
      </c>
      <c r="AB28" s="14">
        <v>25</v>
      </c>
      <c r="AC28" s="2">
        <v>5.4</v>
      </c>
    </row>
    <row r="29" spans="1:29" ht="14.4" customHeight="1" x14ac:dyDescent="0.3">
      <c r="A29" s="2">
        <v>56.5</v>
      </c>
      <c r="B29" s="2">
        <v>3.5</v>
      </c>
      <c r="C29" s="2"/>
      <c r="D29" s="2">
        <v>58.5</v>
      </c>
      <c r="E29" s="2">
        <v>3.5</v>
      </c>
      <c r="G29" s="2">
        <v>62.5</v>
      </c>
      <c r="H29" s="2">
        <v>3.5</v>
      </c>
      <c r="I29" s="2"/>
      <c r="J29" s="2">
        <v>78.5</v>
      </c>
      <c r="K29" s="2">
        <v>3.5</v>
      </c>
      <c r="M29" s="2">
        <v>52.5</v>
      </c>
      <c r="N29" s="2">
        <v>3.5</v>
      </c>
      <c r="P29" s="2">
        <v>56.5</v>
      </c>
      <c r="Q29" s="2">
        <v>3.5</v>
      </c>
      <c r="S29" s="2">
        <v>56.5</v>
      </c>
      <c r="T29" s="2">
        <v>3.5</v>
      </c>
      <c r="V29" s="2">
        <v>58.5</v>
      </c>
      <c r="W29" s="2">
        <v>3.5</v>
      </c>
      <c r="Y29" s="14">
        <v>26</v>
      </c>
      <c r="Z29" s="2">
        <v>5.5</v>
      </c>
      <c r="AB29" s="14">
        <v>26</v>
      </c>
      <c r="AC29" s="2">
        <v>5.5</v>
      </c>
    </row>
    <row r="30" spans="1:29" ht="14.4" customHeight="1" x14ac:dyDescent="0.3">
      <c r="A30" s="2">
        <v>54.8</v>
      </c>
      <c r="B30" s="2">
        <v>3.6</v>
      </c>
      <c r="C30" s="2"/>
      <c r="D30" s="2">
        <v>56.8</v>
      </c>
      <c r="E30" s="2">
        <v>3.6</v>
      </c>
      <c r="G30" s="2">
        <v>60.8</v>
      </c>
      <c r="H30" s="2">
        <v>3.6</v>
      </c>
      <c r="I30" s="2"/>
      <c r="J30" s="2">
        <v>76.8</v>
      </c>
      <c r="K30" s="2">
        <v>3.6</v>
      </c>
      <c r="M30" s="2">
        <v>50.8</v>
      </c>
      <c r="N30" s="2">
        <v>3.6</v>
      </c>
      <c r="P30" s="2">
        <v>54.8</v>
      </c>
      <c r="Q30" s="2">
        <v>3.6</v>
      </c>
      <c r="S30" s="2">
        <v>54.8</v>
      </c>
      <c r="T30" s="2">
        <v>3.6</v>
      </c>
      <c r="V30" s="2">
        <v>56.8</v>
      </c>
      <c r="W30" s="2">
        <v>3.6</v>
      </c>
      <c r="Y30" s="14">
        <v>27</v>
      </c>
      <c r="Z30" s="2">
        <v>5.6</v>
      </c>
      <c r="AB30" s="14">
        <v>27</v>
      </c>
      <c r="AC30" s="2">
        <v>5.6</v>
      </c>
    </row>
    <row r="31" spans="1:29" ht="14.4" customHeight="1" x14ac:dyDescent="0.3">
      <c r="A31" s="2">
        <v>53.3</v>
      </c>
      <c r="B31" s="2">
        <v>3.7</v>
      </c>
      <c r="C31" s="2"/>
      <c r="D31" s="2">
        <v>55.3</v>
      </c>
      <c r="E31" s="2">
        <v>3.7</v>
      </c>
      <c r="G31" s="2">
        <v>59.3</v>
      </c>
      <c r="H31" s="2">
        <v>3.7</v>
      </c>
      <c r="I31" s="2"/>
      <c r="J31" s="2">
        <v>75.3</v>
      </c>
      <c r="K31" s="2">
        <v>3.7</v>
      </c>
      <c r="M31" s="2">
        <v>49.3</v>
      </c>
      <c r="N31" s="2">
        <v>3.7</v>
      </c>
      <c r="P31" s="2">
        <v>53.3</v>
      </c>
      <c r="Q31" s="2">
        <v>3.7</v>
      </c>
      <c r="S31" s="2">
        <v>53.3</v>
      </c>
      <c r="T31" s="2">
        <v>3.7</v>
      </c>
      <c r="V31" s="2">
        <v>55.3</v>
      </c>
      <c r="W31" s="2">
        <v>3.7</v>
      </c>
      <c r="Y31" s="14">
        <v>28</v>
      </c>
      <c r="Z31" s="2">
        <v>5.8</v>
      </c>
      <c r="AB31" s="14">
        <v>28</v>
      </c>
      <c r="AC31" s="2">
        <v>5.8</v>
      </c>
    </row>
    <row r="32" spans="1:29" ht="14.4" customHeight="1" x14ac:dyDescent="0.3">
      <c r="A32" s="2">
        <v>52</v>
      </c>
      <c r="B32" s="2">
        <v>3.8</v>
      </c>
      <c r="C32" s="2"/>
      <c r="D32" s="2">
        <v>54</v>
      </c>
      <c r="E32" s="2">
        <v>3.8</v>
      </c>
      <c r="G32" s="2">
        <v>58</v>
      </c>
      <c r="H32" s="2">
        <v>3.8</v>
      </c>
      <c r="I32" s="2"/>
      <c r="J32" s="2">
        <v>74</v>
      </c>
      <c r="K32" s="2">
        <v>3.8</v>
      </c>
      <c r="M32" s="2">
        <v>48</v>
      </c>
      <c r="N32" s="2">
        <v>3.8</v>
      </c>
      <c r="P32" s="2">
        <v>52</v>
      </c>
      <c r="Q32" s="2">
        <v>3.8</v>
      </c>
      <c r="S32" s="2">
        <v>52</v>
      </c>
      <c r="T32" s="2">
        <v>3.8</v>
      </c>
      <c r="V32" s="2">
        <v>54</v>
      </c>
      <c r="W32" s="2">
        <v>3.8</v>
      </c>
      <c r="Y32" s="14">
        <v>29</v>
      </c>
      <c r="Z32" s="2">
        <v>5.9</v>
      </c>
      <c r="AB32" s="14">
        <v>29</v>
      </c>
      <c r="AC32" s="2">
        <v>5.9</v>
      </c>
    </row>
    <row r="33" spans="1:29" ht="14.4" customHeight="1" x14ac:dyDescent="0.3">
      <c r="A33" s="2">
        <v>50.9</v>
      </c>
      <c r="B33" s="2">
        <v>3.9</v>
      </c>
      <c r="C33" s="2"/>
      <c r="D33" s="2">
        <v>52.9</v>
      </c>
      <c r="E33" s="2">
        <v>3.9</v>
      </c>
      <c r="G33" s="2">
        <v>56.9</v>
      </c>
      <c r="H33" s="2">
        <v>3.9</v>
      </c>
      <c r="I33" s="2"/>
      <c r="J33" s="2">
        <v>72.900000000000006</v>
      </c>
      <c r="K33" s="2">
        <v>3.9</v>
      </c>
      <c r="M33" s="2">
        <v>46.9</v>
      </c>
      <c r="N33" s="2">
        <v>3.9</v>
      </c>
      <c r="P33" s="2">
        <v>50.9</v>
      </c>
      <c r="Q33" s="2">
        <v>3.9</v>
      </c>
      <c r="S33" s="2">
        <v>50.9</v>
      </c>
      <c r="T33" s="2">
        <v>3.9</v>
      </c>
      <c r="V33" s="2">
        <v>52.9</v>
      </c>
      <c r="W33" s="2">
        <v>3.9</v>
      </c>
      <c r="Y33" s="14">
        <v>30</v>
      </c>
      <c r="Z33" s="2">
        <v>6</v>
      </c>
      <c r="AB33" s="14">
        <v>30</v>
      </c>
      <c r="AC33" s="2">
        <v>6</v>
      </c>
    </row>
    <row r="34" spans="1:29" ht="14.4" customHeight="1" x14ac:dyDescent="0.3">
      <c r="A34" s="2">
        <v>50</v>
      </c>
      <c r="B34" s="2">
        <v>4</v>
      </c>
      <c r="C34" s="2"/>
      <c r="D34" s="2">
        <v>52</v>
      </c>
      <c r="E34" s="2">
        <v>4</v>
      </c>
      <c r="G34" s="2">
        <v>56</v>
      </c>
      <c r="H34" s="2">
        <v>4</v>
      </c>
      <c r="I34" s="2"/>
      <c r="J34" s="2">
        <v>72</v>
      </c>
      <c r="K34" s="2">
        <v>4</v>
      </c>
      <c r="M34" s="2">
        <v>46</v>
      </c>
      <c r="N34" s="2">
        <v>4</v>
      </c>
      <c r="P34" s="2">
        <v>50</v>
      </c>
      <c r="Q34" s="2">
        <v>4</v>
      </c>
      <c r="S34" s="2">
        <v>50</v>
      </c>
      <c r="T34" s="2">
        <v>4</v>
      </c>
      <c r="V34" s="2">
        <v>52</v>
      </c>
      <c r="W34" s="2">
        <v>4</v>
      </c>
      <c r="Y34" s="14">
        <v>31</v>
      </c>
      <c r="Z34" s="2">
        <v>6</v>
      </c>
      <c r="AB34" s="14">
        <v>31</v>
      </c>
      <c r="AC34" s="2">
        <v>6</v>
      </c>
    </row>
    <row r="35" spans="1:29" x14ac:dyDescent="0.3">
      <c r="A35" s="2">
        <v>49.3</v>
      </c>
      <c r="B35" s="2">
        <v>4.0999999999999996</v>
      </c>
      <c r="D35" s="2">
        <v>51.3</v>
      </c>
      <c r="E35" s="2">
        <v>4.0999999999999996</v>
      </c>
      <c r="G35" s="2">
        <v>55.1</v>
      </c>
      <c r="H35" s="2">
        <v>4.0999999999999996</v>
      </c>
      <c r="J35" s="2">
        <v>71</v>
      </c>
      <c r="K35" s="2">
        <v>4.0999999999999996</v>
      </c>
      <c r="M35" s="2">
        <v>45.3</v>
      </c>
      <c r="N35" s="2">
        <v>4.0999999999999996</v>
      </c>
      <c r="P35" s="2">
        <v>49.3</v>
      </c>
      <c r="Q35" s="2">
        <v>4.0999999999999996</v>
      </c>
      <c r="S35" s="2">
        <v>49.3</v>
      </c>
      <c r="T35" s="2">
        <v>4.0999999999999996</v>
      </c>
      <c r="V35" s="2">
        <v>51.3</v>
      </c>
      <c r="W35" s="2">
        <v>4.0999999999999996</v>
      </c>
      <c r="Y35" s="14">
        <v>32</v>
      </c>
      <c r="Z35" s="2">
        <v>6</v>
      </c>
      <c r="AB35" s="14">
        <v>32</v>
      </c>
      <c r="AC35" s="2">
        <v>6</v>
      </c>
    </row>
    <row r="36" spans="1:29" x14ac:dyDescent="0.3">
      <c r="A36" s="2">
        <v>48.6</v>
      </c>
      <c r="B36" s="2">
        <v>4.2</v>
      </c>
      <c r="D36" s="2">
        <v>50.6</v>
      </c>
      <c r="E36" s="2">
        <v>4.2</v>
      </c>
      <c r="G36" s="2">
        <v>54.2</v>
      </c>
      <c r="H36" s="2">
        <v>4.2</v>
      </c>
      <c r="J36" s="2">
        <v>70</v>
      </c>
      <c r="K36" s="2">
        <v>4.2</v>
      </c>
      <c r="M36" s="2">
        <v>44.6</v>
      </c>
      <c r="N36" s="2">
        <v>4.2</v>
      </c>
      <c r="P36" s="2">
        <v>48.6</v>
      </c>
      <c r="Q36" s="2">
        <v>4.2</v>
      </c>
      <c r="S36" s="2">
        <v>48.6</v>
      </c>
      <c r="T36" s="2">
        <v>4.2</v>
      </c>
      <c r="V36" s="2">
        <v>50.6</v>
      </c>
      <c r="W36" s="2">
        <v>4.2</v>
      </c>
      <c r="Y36" s="14">
        <v>33</v>
      </c>
      <c r="Z36" s="2">
        <v>6</v>
      </c>
      <c r="AB36" s="14">
        <v>33</v>
      </c>
      <c r="AC36" s="2">
        <v>6</v>
      </c>
    </row>
    <row r="37" spans="1:29" ht="14.4" customHeight="1" x14ac:dyDescent="0.3">
      <c r="A37" s="2">
        <v>47.9</v>
      </c>
      <c r="B37" s="2">
        <v>4.3</v>
      </c>
      <c r="D37" s="2">
        <v>49.9</v>
      </c>
      <c r="E37" s="2">
        <v>4.3</v>
      </c>
      <c r="G37" s="2">
        <v>53.3</v>
      </c>
      <c r="H37" s="2">
        <v>4.3</v>
      </c>
      <c r="J37" s="2">
        <v>69</v>
      </c>
      <c r="K37" s="2">
        <v>4.3</v>
      </c>
      <c r="M37" s="2">
        <v>43.9</v>
      </c>
      <c r="N37" s="2">
        <v>4.3</v>
      </c>
      <c r="P37" s="2">
        <v>47.9</v>
      </c>
      <c r="Q37" s="2">
        <v>4.3</v>
      </c>
      <c r="S37" s="2">
        <v>47.9</v>
      </c>
      <c r="T37" s="2">
        <v>4.3</v>
      </c>
      <c r="V37" s="2">
        <v>49.9</v>
      </c>
      <c r="W37" s="2">
        <v>4.3</v>
      </c>
      <c r="Y37" s="14">
        <v>34</v>
      </c>
      <c r="Z37" s="2">
        <v>6</v>
      </c>
      <c r="AB37" s="14">
        <v>34</v>
      </c>
      <c r="AC37" s="2">
        <v>6</v>
      </c>
    </row>
    <row r="38" spans="1:29" ht="14.4" customHeight="1" x14ac:dyDescent="0.3">
      <c r="A38" s="2">
        <v>47.2</v>
      </c>
      <c r="B38" s="2">
        <v>4.4000000000000004</v>
      </c>
      <c r="D38" s="2">
        <v>49.2</v>
      </c>
      <c r="E38" s="2">
        <v>4.4000000000000004</v>
      </c>
      <c r="G38" s="2">
        <v>52.4</v>
      </c>
      <c r="H38" s="2">
        <v>4.4000000000000004</v>
      </c>
      <c r="J38" s="2">
        <v>68</v>
      </c>
      <c r="K38" s="2">
        <v>4.4000000000000004</v>
      </c>
      <c r="M38" s="2">
        <v>43.2</v>
      </c>
      <c r="N38" s="2">
        <v>4.4000000000000004</v>
      </c>
      <c r="P38" s="2">
        <v>47.2</v>
      </c>
      <c r="Q38" s="2">
        <v>4.4000000000000004</v>
      </c>
      <c r="S38" s="2">
        <v>47.2</v>
      </c>
      <c r="T38" s="2">
        <v>4.4000000000000004</v>
      </c>
      <c r="V38" s="2">
        <v>49.2</v>
      </c>
      <c r="W38" s="2">
        <v>4.4000000000000004</v>
      </c>
      <c r="Y38" s="14">
        <v>35</v>
      </c>
      <c r="Z38" s="2">
        <v>6</v>
      </c>
      <c r="AB38" s="14">
        <v>35</v>
      </c>
      <c r="AC38" s="2">
        <v>6</v>
      </c>
    </row>
    <row r="39" spans="1:29" ht="14.4" customHeight="1" x14ac:dyDescent="0.3">
      <c r="A39" s="2">
        <v>46.5</v>
      </c>
      <c r="B39" s="2">
        <v>4.5</v>
      </c>
      <c r="D39" s="2">
        <v>48.5</v>
      </c>
      <c r="E39" s="2">
        <v>4.5</v>
      </c>
      <c r="G39" s="2">
        <v>51.5</v>
      </c>
      <c r="H39" s="2">
        <v>4.5</v>
      </c>
      <c r="J39" s="2">
        <v>67</v>
      </c>
      <c r="K39" s="2">
        <v>4.5</v>
      </c>
      <c r="M39" s="2">
        <v>42.5</v>
      </c>
      <c r="N39" s="2">
        <v>4.5</v>
      </c>
      <c r="P39" s="2">
        <v>46.5</v>
      </c>
      <c r="Q39" s="2">
        <v>4.5</v>
      </c>
      <c r="S39" s="2">
        <v>46.5</v>
      </c>
      <c r="T39" s="2">
        <v>4.5</v>
      </c>
      <c r="V39" s="2">
        <v>48.5</v>
      </c>
      <c r="W39" s="2">
        <v>4.5</v>
      </c>
      <c r="Y39" s="14">
        <v>36</v>
      </c>
      <c r="Z39" s="2">
        <v>6</v>
      </c>
      <c r="AB39" s="14">
        <v>36</v>
      </c>
      <c r="AC39" s="2">
        <v>6</v>
      </c>
    </row>
    <row r="40" spans="1:29" ht="14.4" customHeight="1" x14ac:dyDescent="0.3">
      <c r="A40" s="2">
        <v>45.8</v>
      </c>
      <c r="B40" s="2">
        <v>4.5999999999999996</v>
      </c>
      <c r="D40" s="2">
        <v>47.8</v>
      </c>
      <c r="E40" s="2">
        <v>4.5999999999999996</v>
      </c>
      <c r="G40" s="2">
        <v>50.6</v>
      </c>
      <c r="H40" s="2">
        <v>4.5999999999999996</v>
      </c>
      <c r="J40" s="2">
        <v>66</v>
      </c>
      <c r="K40" s="2">
        <v>4.5999999999999996</v>
      </c>
      <c r="M40" s="2">
        <v>41.8</v>
      </c>
      <c r="N40" s="2">
        <v>4.5999999999999996</v>
      </c>
      <c r="P40" s="2">
        <v>45.8</v>
      </c>
      <c r="Q40" s="2">
        <v>4.5999999999999996</v>
      </c>
      <c r="S40" s="2">
        <v>45.8</v>
      </c>
      <c r="T40" s="2">
        <v>4.5999999999999996</v>
      </c>
      <c r="V40" s="2">
        <v>47.8</v>
      </c>
      <c r="W40" s="2">
        <v>4.5999999999999996</v>
      </c>
      <c r="Y40" s="172"/>
      <c r="AB40" s="172"/>
    </row>
    <row r="41" spans="1:29" ht="14.4" customHeight="1" x14ac:dyDescent="0.3">
      <c r="A41" s="2">
        <v>45.1</v>
      </c>
      <c r="B41" s="2">
        <v>4.7</v>
      </c>
      <c r="D41" s="2">
        <v>47.1</v>
      </c>
      <c r="E41" s="2">
        <v>4.7</v>
      </c>
      <c r="G41" s="2">
        <v>49.7</v>
      </c>
      <c r="H41" s="2">
        <v>4.7</v>
      </c>
      <c r="J41" s="2">
        <v>65</v>
      </c>
      <c r="K41" s="2">
        <v>4.7</v>
      </c>
      <c r="M41" s="2">
        <v>41.1</v>
      </c>
      <c r="N41" s="2">
        <v>4.7</v>
      </c>
      <c r="P41" s="2">
        <v>45.1</v>
      </c>
      <c r="Q41" s="2">
        <v>4.7</v>
      </c>
      <c r="S41" s="2">
        <v>45.1</v>
      </c>
      <c r="T41" s="2">
        <v>4.7</v>
      </c>
      <c r="V41" s="2">
        <v>47.1</v>
      </c>
      <c r="W41" s="2">
        <v>4.7</v>
      </c>
    </row>
    <row r="42" spans="1:29" x14ac:dyDescent="0.3">
      <c r="A42" s="2">
        <v>44.4</v>
      </c>
      <c r="B42" s="2">
        <v>4.8</v>
      </c>
      <c r="D42" s="2">
        <v>46.4</v>
      </c>
      <c r="E42" s="2">
        <v>4.8</v>
      </c>
      <c r="G42" s="2">
        <v>48.8</v>
      </c>
      <c r="H42" s="2">
        <v>4.8</v>
      </c>
      <c r="J42" s="2">
        <v>64</v>
      </c>
      <c r="K42" s="2">
        <v>4.8</v>
      </c>
      <c r="M42" s="2">
        <v>40.4</v>
      </c>
      <c r="N42" s="2">
        <v>4.8</v>
      </c>
      <c r="P42" s="2">
        <v>44.4</v>
      </c>
      <c r="Q42" s="2">
        <v>4.8</v>
      </c>
      <c r="S42" s="2">
        <v>44.4</v>
      </c>
      <c r="T42" s="2">
        <v>4.8</v>
      </c>
      <c r="V42" s="2">
        <v>46.4</v>
      </c>
      <c r="W42" s="2">
        <v>4.8</v>
      </c>
    </row>
    <row r="43" spans="1:29" x14ac:dyDescent="0.3">
      <c r="A43" s="2">
        <v>43.7</v>
      </c>
      <c r="B43" s="2">
        <v>4.9000000000000004</v>
      </c>
      <c r="D43" s="2">
        <v>45.7</v>
      </c>
      <c r="E43" s="2">
        <v>4.9000000000000004</v>
      </c>
      <c r="G43" s="2">
        <v>47.9</v>
      </c>
      <c r="H43" s="2">
        <v>4.9000000000000004</v>
      </c>
      <c r="J43" s="2">
        <v>63</v>
      </c>
      <c r="K43" s="2">
        <v>4.9000000000000004</v>
      </c>
      <c r="M43" s="2">
        <v>39.700000000000003</v>
      </c>
      <c r="N43" s="2">
        <v>4.9000000000000004</v>
      </c>
      <c r="P43" s="2">
        <v>43.7</v>
      </c>
      <c r="Q43" s="2">
        <v>4.9000000000000004</v>
      </c>
      <c r="S43" s="2">
        <v>43.7</v>
      </c>
      <c r="T43" s="2">
        <v>4.9000000000000004</v>
      </c>
      <c r="V43" s="2">
        <v>45.7</v>
      </c>
      <c r="W43" s="2">
        <v>4.9000000000000004</v>
      </c>
    </row>
    <row r="44" spans="1:29" x14ac:dyDescent="0.3">
      <c r="A44" s="2">
        <v>43</v>
      </c>
      <c r="B44" s="2">
        <v>5</v>
      </c>
      <c r="D44" s="2">
        <v>45</v>
      </c>
      <c r="E44" s="2">
        <v>5</v>
      </c>
      <c r="G44" s="2">
        <v>47</v>
      </c>
      <c r="H44" s="2">
        <v>5</v>
      </c>
      <c r="J44" s="2">
        <v>62</v>
      </c>
      <c r="K44" s="2">
        <v>5</v>
      </c>
      <c r="M44" s="2">
        <v>39</v>
      </c>
      <c r="N44" s="2">
        <v>5</v>
      </c>
      <c r="P44" s="2">
        <v>43</v>
      </c>
      <c r="Q44" s="2">
        <v>5</v>
      </c>
      <c r="S44" s="2">
        <v>43</v>
      </c>
      <c r="T44" s="2">
        <v>5</v>
      </c>
      <c r="V44" s="2">
        <v>45</v>
      </c>
      <c r="W44" s="2">
        <v>5</v>
      </c>
      <c r="Z44" s="2"/>
    </row>
    <row r="45" spans="1:29" x14ac:dyDescent="0.3">
      <c r="A45" s="2">
        <v>42.3</v>
      </c>
      <c r="B45" s="2">
        <v>5.0999999999999996</v>
      </c>
      <c r="D45" s="2">
        <v>44.3</v>
      </c>
      <c r="E45" s="2">
        <v>5.0999999999999996</v>
      </c>
      <c r="G45" s="2">
        <v>46.1</v>
      </c>
      <c r="H45" s="2">
        <v>5.0999999999999996</v>
      </c>
      <c r="J45" s="2">
        <v>61</v>
      </c>
      <c r="K45" s="2">
        <v>5.0999999999999996</v>
      </c>
      <c r="M45" s="2">
        <v>38.299999999999997</v>
      </c>
      <c r="N45" s="2">
        <v>5.0999999999999996</v>
      </c>
      <c r="P45" s="2">
        <v>42.3</v>
      </c>
      <c r="Q45" s="2">
        <v>5.0999999999999996</v>
      </c>
      <c r="S45" s="2">
        <v>42.3</v>
      </c>
      <c r="T45" s="2">
        <v>5.0999999999999996</v>
      </c>
      <c r="V45" s="2">
        <v>44.3</v>
      </c>
      <c r="W45" s="2">
        <v>5.0999999999999996</v>
      </c>
    </row>
    <row r="46" spans="1:29" ht="14.4" customHeight="1" x14ac:dyDescent="0.3">
      <c r="A46" s="2">
        <v>41.6</v>
      </c>
      <c r="B46" s="2">
        <v>5.2</v>
      </c>
      <c r="D46" s="2">
        <v>43.6</v>
      </c>
      <c r="E46" s="2">
        <v>5.2</v>
      </c>
      <c r="G46" s="2">
        <v>45.2</v>
      </c>
      <c r="H46" s="2">
        <v>5.2</v>
      </c>
      <c r="J46" s="2">
        <v>60</v>
      </c>
      <c r="K46" s="2">
        <v>5.2</v>
      </c>
      <c r="M46" s="2">
        <v>37.6</v>
      </c>
      <c r="N46" s="2">
        <v>5.2</v>
      </c>
      <c r="P46" s="2">
        <v>41.6</v>
      </c>
      <c r="Q46" s="2">
        <v>5.2</v>
      </c>
      <c r="S46" s="2">
        <v>41.6</v>
      </c>
      <c r="T46" s="2">
        <v>5.2</v>
      </c>
      <c r="V46" s="2">
        <v>43.6</v>
      </c>
      <c r="W46" s="2">
        <v>5.2</v>
      </c>
    </row>
    <row r="47" spans="1:29" ht="14.4" customHeight="1" x14ac:dyDescent="0.3">
      <c r="A47" s="2">
        <v>40.9</v>
      </c>
      <c r="B47" s="2">
        <v>5.3</v>
      </c>
      <c r="D47" s="2">
        <v>42.9</v>
      </c>
      <c r="E47" s="2">
        <v>5.3</v>
      </c>
      <c r="G47" s="2">
        <v>44.3</v>
      </c>
      <c r="H47" s="2">
        <v>5.3</v>
      </c>
      <c r="J47" s="2">
        <v>59</v>
      </c>
      <c r="K47" s="2">
        <v>5.3</v>
      </c>
      <c r="M47" s="2">
        <v>36.9</v>
      </c>
      <c r="N47" s="2">
        <v>5.3</v>
      </c>
      <c r="P47" s="2">
        <v>40.9</v>
      </c>
      <c r="Q47" s="2">
        <v>5.3</v>
      </c>
      <c r="S47" s="2">
        <v>40.9</v>
      </c>
      <c r="T47" s="2">
        <v>5.3</v>
      </c>
      <c r="V47" s="2">
        <v>42.9</v>
      </c>
      <c r="W47" s="2">
        <v>5.3</v>
      </c>
    </row>
    <row r="48" spans="1:29" ht="14.4" customHeight="1" x14ac:dyDescent="0.3">
      <c r="A48" s="2">
        <v>40.200000000000003</v>
      </c>
      <c r="B48" s="2">
        <v>5.4</v>
      </c>
      <c r="D48" s="2">
        <v>42.2</v>
      </c>
      <c r="E48" s="2">
        <v>5.4</v>
      </c>
      <c r="G48" s="2">
        <v>43.4</v>
      </c>
      <c r="H48" s="2">
        <v>5.4</v>
      </c>
      <c r="J48" s="2">
        <v>58</v>
      </c>
      <c r="K48" s="2">
        <v>5.4</v>
      </c>
      <c r="M48" s="2">
        <v>36.200000000000003</v>
      </c>
      <c r="N48" s="2">
        <v>5.4</v>
      </c>
      <c r="P48" s="2">
        <v>40.200000000000003</v>
      </c>
      <c r="Q48" s="2">
        <v>5.4</v>
      </c>
      <c r="S48" s="2">
        <v>40.200000000000003</v>
      </c>
      <c r="T48" s="2">
        <v>5.4</v>
      </c>
      <c r="V48" s="2">
        <v>42.2</v>
      </c>
      <c r="W48" s="2">
        <v>5.4</v>
      </c>
    </row>
    <row r="49" spans="1:23" ht="14.4" customHeight="1" x14ac:dyDescent="0.3">
      <c r="A49" s="2">
        <v>39.5</v>
      </c>
      <c r="B49" s="2">
        <v>5.5</v>
      </c>
      <c r="D49" s="2">
        <v>41.5</v>
      </c>
      <c r="E49" s="2">
        <v>5.5</v>
      </c>
      <c r="G49" s="2">
        <v>42.5</v>
      </c>
      <c r="H49" s="2">
        <v>5.5</v>
      </c>
      <c r="J49" s="2">
        <v>57</v>
      </c>
      <c r="K49" s="2">
        <v>5.5</v>
      </c>
      <c r="M49" s="2">
        <v>35.5</v>
      </c>
      <c r="N49" s="2">
        <v>5.5</v>
      </c>
      <c r="P49" s="2">
        <v>39.5</v>
      </c>
      <c r="Q49" s="2">
        <v>5.5</v>
      </c>
      <c r="S49" s="2">
        <v>39.5</v>
      </c>
      <c r="T49" s="2">
        <v>5.5</v>
      </c>
      <c r="V49" s="2">
        <v>41.5</v>
      </c>
      <c r="W49" s="2">
        <v>5.5</v>
      </c>
    </row>
    <row r="50" spans="1:23" ht="14.4" customHeight="1" x14ac:dyDescent="0.3">
      <c r="A50" s="2">
        <v>38.799999999999997</v>
      </c>
      <c r="B50" s="2">
        <v>5.6</v>
      </c>
      <c r="D50" s="2">
        <v>40.799999999999997</v>
      </c>
      <c r="E50" s="2">
        <v>5.6</v>
      </c>
      <c r="G50" s="2">
        <v>41.6</v>
      </c>
      <c r="H50" s="2">
        <v>5.6</v>
      </c>
      <c r="J50" s="2">
        <v>56</v>
      </c>
      <c r="K50" s="2">
        <v>5.6</v>
      </c>
      <c r="M50" s="2">
        <v>34.799999999999997</v>
      </c>
      <c r="N50" s="2">
        <v>5.6</v>
      </c>
      <c r="P50" s="2">
        <v>38.799999999999997</v>
      </c>
      <c r="Q50" s="2">
        <v>5.6</v>
      </c>
      <c r="S50" s="2">
        <v>38.799999999999997</v>
      </c>
      <c r="T50" s="2">
        <v>5.6</v>
      </c>
      <c r="V50" s="2">
        <v>40.799999999999997</v>
      </c>
      <c r="W50" s="2">
        <v>5.6</v>
      </c>
    </row>
    <row r="51" spans="1:23" ht="14.4" customHeight="1" x14ac:dyDescent="0.3">
      <c r="A51" s="2">
        <v>38.1</v>
      </c>
      <c r="B51" s="2">
        <v>5.7</v>
      </c>
      <c r="D51" s="2">
        <v>40.1</v>
      </c>
      <c r="E51" s="2">
        <v>5.7</v>
      </c>
      <c r="G51" s="2">
        <v>40.700000000000003</v>
      </c>
      <c r="H51" s="2">
        <v>5.7</v>
      </c>
      <c r="J51" s="2">
        <v>55</v>
      </c>
      <c r="K51" s="2">
        <v>5.7</v>
      </c>
      <c r="M51" s="2">
        <v>34.1</v>
      </c>
      <c r="N51" s="2">
        <v>5.7</v>
      </c>
      <c r="P51" s="2">
        <v>38.1</v>
      </c>
      <c r="Q51" s="2">
        <v>5.7</v>
      </c>
      <c r="S51" s="2">
        <v>38.1</v>
      </c>
      <c r="T51" s="2">
        <v>5.7</v>
      </c>
      <c r="V51" s="2">
        <v>40.1</v>
      </c>
      <c r="W51" s="2">
        <v>5.7</v>
      </c>
    </row>
    <row r="52" spans="1:23" ht="14.4" customHeight="1" x14ac:dyDescent="0.3">
      <c r="A52" s="2">
        <v>37.4</v>
      </c>
      <c r="B52" s="2">
        <v>5.8</v>
      </c>
      <c r="D52" s="2">
        <v>39.4</v>
      </c>
      <c r="E52" s="2">
        <v>5.8</v>
      </c>
      <c r="G52" s="2">
        <v>39.799999999999997</v>
      </c>
      <c r="H52" s="2">
        <v>5.8</v>
      </c>
      <c r="J52" s="2">
        <v>54</v>
      </c>
      <c r="K52" s="2">
        <v>5.8</v>
      </c>
      <c r="M52" s="2">
        <v>33.4</v>
      </c>
      <c r="N52" s="2">
        <v>5.8</v>
      </c>
      <c r="P52" s="2">
        <v>37.4</v>
      </c>
      <c r="Q52" s="2">
        <v>5.8</v>
      </c>
      <c r="S52" s="2">
        <v>37.4</v>
      </c>
      <c r="T52" s="2">
        <v>5.8</v>
      </c>
      <c r="V52" s="2">
        <v>39.4</v>
      </c>
      <c r="W52" s="2">
        <v>5.8</v>
      </c>
    </row>
    <row r="53" spans="1:23" x14ac:dyDescent="0.3">
      <c r="A53" s="2">
        <v>36.700000000000003</v>
      </c>
      <c r="B53" s="2">
        <v>5.9</v>
      </c>
      <c r="D53" s="2">
        <v>38.700000000000003</v>
      </c>
      <c r="E53" s="2">
        <v>5.9</v>
      </c>
      <c r="G53" s="2">
        <v>38.9</v>
      </c>
      <c r="H53" s="2">
        <v>5.9</v>
      </c>
      <c r="J53" s="2">
        <v>53</v>
      </c>
      <c r="K53" s="2">
        <v>5.9</v>
      </c>
      <c r="M53" s="2">
        <v>32.700000000000003</v>
      </c>
      <c r="N53" s="2">
        <v>5.9</v>
      </c>
      <c r="P53" s="2">
        <v>36.700000000000003</v>
      </c>
      <c r="Q53" s="2">
        <v>5.9</v>
      </c>
      <c r="S53" s="2">
        <v>36.700000000000003</v>
      </c>
      <c r="T53" s="2">
        <v>5.9</v>
      </c>
      <c r="V53" s="2">
        <v>38.700000000000003</v>
      </c>
      <c r="W53" s="2">
        <v>5.9</v>
      </c>
    </row>
    <row r="54" spans="1:23" x14ac:dyDescent="0.3">
      <c r="A54" s="2">
        <v>36</v>
      </c>
      <c r="B54" s="2">
        <v>6</v>
      </c>
      <c r="D54" s="2">
        <v>38</v>
      </c>
      <c r="E54" s="2">
        <v>6</v>
      </c>
      <c r="G54" s="2">
        <v>38</v>
      </c>
      <c r="H54" s="2">
        <v>6</v>
      </c>
      <c r="J54" s="2">
        <v>52</v>
      </c>
      <c r="K54" s="2">
        <v>6</v>
      </c>
      <c r="M54" s="2">
        <v>32</v>
      </c>
      <c r="N54" s="2">
        <v>6</v>
      </c>
      <c r="P54" s="2">
        <v>36</v>
      </c>
      <c r="Q54" s="2">
        <v>6</v>
      </c>
      <c r="S54" s="2">
        <v>36</v>
      </c>
      <c r="T54" s="2">
        <v>6</v>
      </c>
      <c r="V54" s="2">
        <v>38</v>
      </c>
      <c r="W54" s="2">
        <v>6</v>
      </c>
    </row>
    <row r="55" spans="1:23" x14ac:dyDescent="0.3">
      <c r="A55" s="171"/>
      <c r="B55" s="2"/>
      <c r="D55" s="171"/>
      <c r="E55" s="2"/>
      <c r="G55" s="171"/>
      <c r="H55" s="2"/>
      <c r="J55" s="171"/>
      <c r="K55" s="2"/>
      <c r="M55" s="171"/>
      <c r="N55" s="2"/>
      <c r="P55" s="171"/>
      <c r="Q55" s="2"/>
      <c r="S55" s="171"/>
      <c r="T55" s="2"/>
      <c r="V55" s="171"/>
      <c r="W55" s="2"/>
    </row>
    <row r="56" spans="1:23" x14ac:dyDescent="0.3">
      <c r="B56" s="2"/>
      <c r="E56" s="2"/>
      <c r="H56" s="2"/>
      <c r="K56" s="2"/>
      <c r="N56" s="2"/>
      <c r="Q56" s="2"/>
      <c r="T56" s="2"/>
      <c r="W56" s="2"/>
    </row>
  </sheetData>
  <mergeCells count="10">
    <mergeCell ref="A2:B2"/>
    <mergeCell ref="D2:E2"/>
    <mergeCell ref="G2:H2"/>
    <mergeCell ref="J2:K2"/>
    <mergeCell ref="AB2:AC2"/>
    <mergeCell ref="M2:N2"/>
    <mergeCell ref="P2:Q2"/>
    <mergeCell ref="S2:T2"/>
    <mergeCell ref="V2:W2"/>
    <mergeCell ref="Y2:Z2"/>
  </mergeCells>
  <pageMargins left="0.7" right="0.7" top="0.78740157499999996" bottom="0.78740157499999996" header="0.3" footer="0.3"/>
  <pageSetup paperSize="9" orientation="portrait"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C56"/>
  <sheetViews>
    <sheetView zoomScale="50" zoomScaleNormal="50" workbookViewId="0">
      <selection activeCell="A37" sqref="A37"/>
    </sheetView>
  </sheetViews>
  <sheetFormatPr baseColWidth="10" defaultColWidth="11.5546875" defaultRowHeight="14.4" x14ac:dyDescent="0.3"/>
  <cols>
    <col min="1" max="2" width="11.5546875" style="5"/>
    <col min="3" max="3" width="1.109375" style="5" customWidth="1"/>
    <col min="4" max="5" width="11.5546875" style="5"/>
    <col min="6" max="6" width="2.6640625" style="5" customWidth="1"/>
    <col min="7" max="7" width="11.6640625" style="5" customWidth="1"/>
    <col min="8" max="8" width="11.5546875" style="5"/>
    <col min="9" max="9" width="1.109375" style="5" customWidth="1"/>
    <col min="10" max="10" width="11.6640625" style="5" customWidth="1"/>
    <col min="11" max="11" width="11.5546875" style="5"/>
    <col min="12" max="12" width="2.6640625" style="5" customWidth="1"/>
    <col min="13" max="13" width="11.6640625" style="5" customWidth="1"/>
    <col min="14" max="14" width="11.5546875" style="5"/>
    <col min="15" max="15" width="1.109375" style="5" customWidth="1"/>
    <col min="16" max="17" width="11.5546875" style="5"/>
    <col min="18" max="18" width="2.6640625" style="5" customWidth="1"/>
    <col min="19" max="20" width="11.5546875" style="5"/>
    <col min="21" max="21" width="1.109375" style="5" customWidth="1"/>
    <col min="22" max="22" width="11.6640625" style="5" customWidth="1"/>
    <col min="23" max="23" width="11.5546875" style="5"/>
    <col min="24" max="24" width="2.6640625" style="5" customWidth="1"/>
    <col min="25" max="26" width="11.5546875" style="5"/>
    <col min="27" max="27" width="1.109375" style="5" customWidth="1"/>
    <col min="28" max="16384" width="11.5546875" style="5"/>
  </cols>
  <sheetData>
    <row r="1" spans="1:29" x14ac:dyDescent="0.3">
      <c r="A1" s="4" t="str">
        <f>INDEX(StdDisziplinen[StdDisziplin],20)</f>
        <v>Basketball</v>
      </c>
      <c r="G1" s="4" t="str">
        <f>INDEX(StdDisziplinen[StdDisziplin],21)</f>
        <v>Fussball</v>
      </c>
      <c r="M1" s="4" t="str">
        <f>INDEX(StdDisziplinen[StdDisziplin],22)</f>
        <v>Handball</v>
      </c>
      <c r="S1" s="4" t="str">
        <f>INDEX(StdDisziplinen[StdDisziplin],23)</f>
        <v>Unihockey</v>
      </c>
      <c r="Y1" s="4" t="str">
        <f>INDEX(StdDisziplinen[StdDisziplin],24)</f>
        <v>Volleyball</v>
      </c>
    </row>
    <row r="2" spans="1:29" x14ac:dyDescent="0.3">
      <c r="A2" s="584" t="str">
        <f>INDEX(StdSkala[StdSkalaText],4)</f>
        <v>Knaben K2</v>
      </c>
      <c r="B2" s="584"/>
      <c r="C2" s="60"/>
      <c r="D2" s="584" t="str">
        <f>INDEX(StdSkala[StdSkalaText],2)</f>
        <v>Mädchen M2</v>
      </c>
      <c r="E2" s="584"/>
      <c r="G2" s="584" t="str">
        <f>$A$2</f>
        <v>Knaben K2</v>
      </c>
      <c r="H2" s="584"/>
      <c r="I2" s="60"/>
      <c r="J2" s="584" t="str">
        <f>$D$2</f>
        <v>Mädchen M2</v>
      </c>
      <c r="K2" s="584"/>
      <c r="M2" s="585" t="str">
        <f>$A$2</f>
        <v>Knaben K2</v>
      </c>
      <c r="N2" s="585"/>
      <c r="O2" s="240"/>
      <c r="P2" s="585" t="str">
        <f>$D$2</f>
        <v>Mädchen M2</v>
      </c>
      <c r="Q2" s="585"/>
      <c r="R2" s="79"/>
      <c r="S2" s="585" t="str">
        <f>$A$2</f>
        <v>Knaben K2</v>
      </c>
      <c r="T2" s="585"/>
      <c r="U2" s="240"/>
      <c r="V2" s="585" t="str">
        <f>$D$2</f>
        <v>Mädchen M2</v>
      </c>
      <c r="W2" s="585"/>
      <c r="X2" s="79"/>
      <c r="Y2" s="585" t="str">
        <f>$A$2</f>
        <v>Knaben K2</v>
      </c>
      <c r="Z2" s="585"/>
      <c r="AA2" s="240"/>
      <c r="AB2" s="585" t="str">
        <f>$D$2</f>
        <v>Mädchen M2</v>
      </c>
      <c r="AC2" s="585"/>
    </row>
    <row r="3" spans="1:29" x14ac:dyDescent="0.3">
      <c r="A3" s="5" t="s">
        <v>22</v>
      </c>
      <c r="B3" s="5" t="s">
        <v>7</v>
      </c>
      <c r="D3" s="5" t="s">
        <v>22</v>
      </c>
      <c r="E3" s="5" t="s">
        <v>7</v>
      </c>
      <c r="G3" s="7" t="s">
        <v>22</v>
      </c>
      <c r="H3" s="1" t="s">
        <v>7</v>
      </c>
      <c r="I3" s="1"/>
      <c r="J3" s="7" t="s">
        <v>22</v>
      </c>
      <c r="K3" s="1" t="s">
        <v>7</v>
      </c>
      <c r="M3" s="7" t="s">
        <v>22</v>
      </c>
      <c r="N3" s="1" t="s">
        <v>7</v>
      </c>
      <c r="P3" s="5" t="s">
        <v>22</v>
      </c>
      <c r="Q3" s="5" t="s">
        <v>7</v>
      </c>
      <c r="S3" s="5" t="s">
        <v>22</v>
      </c>
      <c r="T3" s="5" t="s">
        <v>7</v>
      </c>
      <c r="V3" s="7" t="s">
        <v>22</v>
      </c>
      <c r="W3" s="1" t="s">
        <v>7</v>
      </c>
      <c r="Y3" s="7" t="s">
        <v>22</v>
      </c>
      <c r="Z3" s="1" t="s">
        <v>7</v>
      </c>
      <c r="AB3" s="7" t="s">
        <v>22</v>
      </c>
      <c r="AC3" s="1" t="s">
        <v>7</v>
      </c>
    </row>
    <row r="4" spans="1:29" ht="14.4" customHeight="1" x14ac:dyDescent="0.3">
      <c r="A4" s="2">
        <v>162</v>
      </c>
      <c r="B4" s="2">
        <v>1</v>
      </c>
      <c r="C4" s="2"/>
      <c r="D4" s="2">
        <v>164</v>
      </c>
      <c r="E4" s="2">
        <v>1</v>
      </c>
      <c r="G4" s="2">
        <v>168</v>
      </c>
      <c r="H4" s="2">
        <v>1</v>
      </c>
      <c r="I4" s="2"/>
      <c r="J4" s="2">
        <v>185</v>
      </c>
      <c r="K4" s="2">
        <v>1</v>
      </c>
      <c r="M4" s="2">
        <v>158</v>
      </c>
      <c r="N4" s="2">
        <v>1</v>
      </c>
      <c r="P4" s="2">
        <v>162</v>
      </c>
      <c r="Q4" s="2">
        <v>1</v>
      </c>
      <c r="S4" s="2">
        <v>162</v>
      </c>
      <c r="T4" s="2">
        <v>1</v>
      </c>
      <c r="V4" s="2">
        <v>164</v>
      </c>
      <c r="W4" s="2">
        <v>1</v>
      </c>
      <c r="Y4" s="14">
        <v>1</v>
      </c>
      <c r="Z4" s="8">
        <v>2.5</v>
      </c>
      <c r="AB4" s="14">
        <v>1</v>
      </c>
      <c r="AC4" s="8">
        <v>2.5</v>
      </c>
    </row>
    <row r="5" spans="1:29" ht="14.4" customHeight="1" x14ac:dyDescent="0.3">
      <c r="A5" s="2">
        <v>155.30000000000001</v>
      </c>
      <c r="B5" s="2">
        <v>1.1000000000000001</v>
      </c>
      <c r="C5" s="2"/>
      <c r="D5" s="2">
        <v>157.30000000000001</v>
      </c>
      <c r="E5" s="2">
        <v>1.1000000000000001</v>
      </c>
      <c r="G5" s="2">
        <v>161.30000000000001</v>
      </c>
      <c r="H5" s="2">
        <v>1.1000000000000001</v>
      </c>
      <c r="I5" s="2"/>
      <c r="J5" s="2">
        <v>178.3</v>
      </c>
      <c r="K5" s="2">
        <v>1.1000000000000001</v>
      </c>
      <c r="M5" s="2">
        <v>151.30000000000001</v>
      </c>
      <c r="N5" s="2">
        <v>1.1000000000000001</v>
      </c>
      <c r="P5" s="2">
        <v>155.30000000000001</v>
      </c>
      <c r="Q5" s="2">
        <v>1.1000000000000001</v>
      </c>
      <c r="S5" s="2">
        <v>155.30000000000001</v>
      </c>
      <c r="T5" s="2">
        <v>1.1000000000000001</v>
      </c>
      <c r="V5" s="2">
        <v>157.30000000000001</v>
      </c>
      <c r="W5" s="2">
        <v>1.1000000000000001</v>
      </c>
      <c r="Y5" s="14">
        <v>2</v>
      </c>
      <c r="Z5" s="2">
        <v>2.6</v>
      </c>
      <c r="AB5" s="14">
        <v>2</v>
      </c>
      <c r="AC5" s="2">
        <v>2.6</v>
      </c>
    </row>
    <row r="6" spans="1:29" ht="14.4" customHeight="1" x14ac:dyDescent="0.3">
      <c r="A6" s="2">
        <v>148.80000000000001</v>
      </c>
      <c r="B6" s="2">
        <v>1.2</v>
      </c>
      <c r="C6" s="2"/>
      <c r="D6" s="2">
        <v>150.80000000000001</v>
      </c>
      <c r="E6" s="2">
        <v>1.2</v>
      </c>
      <c r="G6" s="2">
        <v>154.80000000000001</v>
      </c>
      <c r="H6" s="2">
        <v>1.2</v>
      </c>
      <c r="I6" s="2"/>
      <c r="J6" s="2">
        <v>171.8</v>
      </c>
      <c r="K6" s="2">
        <v>1.2</v>
      </c>
      <c r="M6" s="2">
        <v>144.80000000000001</v>
      </c>
      <c r="N6" s="2">
        <v>1.2</v>
      </c>
      <c r="P6" s="2">
        <v>148.80000000000001</v>
      </c>
      <c r="Q6" s="2">
        <v>1.2</v>
      </c>
      <c r="S6" s="2">
        <v>148.80000000000001</v>
      </c>
      <c r="T6" s="2">
        <v>1.2</v>
      </c>
      <c r="V6" s="2">
        <v>150.80000000000001</v>
      </c>
      <c r="W6" s="2">
        <v>1.2</v>
      </c>
      <c r="Y6" s="14">
        <v>3</v>
      </c>
      <c r="Z6" s="2">
        <v>2.7</v>
      </c>
      <c r="AB6" s="14">
        <v>3</v>
      </c>
      <c r="AC6" s="2">
        <v>2.7</v>
      </c>
    </row>
    <row r="7" spans="1:29" ht="14.4" customHeight="1" x14ac:dyDescent="0.3">
      <c r="A7" s="2">
        <v>142.5</v>
      </c>
      <c r="B7" s="2">
        <v>1.3</v>
      </c>
      <c r="C7" s="2"/>
      <c r="D7" s="2">
        <v>144.5</v>
      </c>
      <c r="E7" s="2">
        <v>1.3</v>
      </c>
      <c r="G7" s="2">
        <v>148.5</v>
      </c>
      <c r="H7" s="2">
        <v>1.3</v>
      </c>
      <c r="I7" s="2"/>
      <c r="J7" s="2">
        <v>165.5</v>
      </c>
      <c r="K7" s="2">
        <v>1.3</v>
      </c>
      <c r="M7" s="2">
        <v>138.5</v>
      </c>
      <c r="N7" s="2">
        <v>1.3</v>
      </c>
      <c r="P7" s="2">
        <v>142.5</v>
      </c>
      <c r="Q7" s="2">
        <v>1.3</v>
      </c>
      <c r="S7" s="2">
        <v>142.5</v>
      </c>
      <c r="T7" s="2">
        <v>1.3</v>
      </c>
      <c r="V7" s="2">
        <v>144.5</v>
      </c>
      <c r="W7" s="2">
        <v>1.3</v>
      </c>
      <c r="Y7" s="14">
        <v>4</v>
      </c>
      <c r="Z7" s="2">
        <v>2.8</v>
      </c>
      <c r="AB7" s="14">
        <v>4</v>
      </c>
      <c r="AC7" s="2">
        <v>2.8</v>
      </c>
    </row>
    <row r="8" spans="1:29" ht="14.4" customHeight="1" x14ac:dyDescent="0.3">
      <c r="A8" s="2">
        <v>136.4</v>
      </c>
      <c r="B8" s="2">
        <v>1.4</v>
      </c>
      <c r="C8" s="2"/>
      <c r="D8" s="2">
        <v>138.4</v>
      </c>
      <c r="E8" s="2">
        <v>1.4</v>
      </c>
      <c r="G8" s="2">
        <v>142.4</v>
      </c>
      <c r="H8" s="2">
        <v>1.4</v>
      </c>
      <c r="I8" s="2"/>
      <c r="J8" s="2">
        <v>159.4</v>
      </c>
      <c r="K8" s="2">
        <v>1.4</v>
      </c>
      <c r="M8" s="2">
        <v>132.4</v>
      </c>
      <c r="N8" s="2">
        <v>1.4</v>
      </c>
      <c r="P8" s="2">
        <v>136.4</v>
      </c>
      <c r="Q8" s="2">
        <v>1.4</v>
      </c>
      <c r="S8" s="2">
        <v>136.4</v>
      </c>
      <c r="T8" s="2">
        <v>1.4</v>
      </c>
      <c r="V8" s="2">
        <v>138.4</v>
      </c>
      <c r="W8" s="2">
        <v>1.4</v>
      </c>
      <c r="Y8" s="14">
        <v>5</v>
      </c>
      <c r="Z8" s="8">
        <v>2.9</v>
      </c>
      <c r="AB8" s="14">
        <v>5</v>
      </c>
      <c r="AC8" s="8">
        <v>2.9</v>
      </c>
    </row>
    <row r="9" spans="1:29" ht="14.4" customHeight="1" x14ac:dyDescent="0.3">
      <c r="A9" s="2">
        <v>130.5</v>
      </c>
      <c r="B9" s="2">
        <v>1.5</v>
      </c>
      <c r="C9" s="2"/>
      <c r="D9" s="2">
        <v>132.5</v>
      </c>
      <c r="E9" s="2">
        <v>1.5</v>
      </c>
      <c r="G9" s="2">
        <v>136.5</v>
      </c>
      <c r="H9" s="2">
        <v>1.5</v>
      </c>
      <c r="I9" s="2"/>
      <c r="J9" s="2">
        <v>153.5</v>
      </c>
      <c r="K9" s="2">
        <v>1.5</v>
      </c>
      <c r="M9" s="2">
        <v>126.5</v>
      </c>
      <c r="N9" s="2">
        <v>1.5</v>
      </c>
      <c r="P9" s="2">
        <v>130.5</v>
      </c>
      <c r="Q9" s="2">
        <v>1.5</v>
      </c>
      <c r="S9" s="2">
        <v>130.5</v>
      </c>
      <c r="T9" s="2">
        <v>1.5</v>
      </c>
      <c r="V9" s="2">
        <v>132.5</v>
      </c>
      <c r="W9" s="2">
        <v>1.5</v>
      </c>
      <c r="Y9" s="14">
        <v>6</v>
      </c>
      <c r="Z9" s="2">
        <v>3</v>
      </c>
      <c r="AB9" s="14">
        <v>6</v>
      </c>
      <c r="AC9" s="2">
        <v>3</v>
      </c>
    </row>
    <row r="10" spans="1:29" ht="14.4" customHeight="1" x14ac:dyDescent="0.3">
      <c r="A10" s="2">
        <v>124.8</v>
      </c>
      <c r="B10" s="2">
        <v>1.6</v>
      </c>
      <c r="C10" s="2"/>
      <c r="D10" s="2">
        <v>126.8</v>
      </c>
      <c r="E10" s="2">
        <v>1.6</v>
      </c>
      <c r="G10" s="2">
        <v>130.80000000000001</v>
      </c>
      <c r="H10" s="2">
        <v>1.6</v>
      </c>
      <c r="I10" s="2"/>
      <c r="J10" s="2">
        <v>147.80000000000001</v>
      </c>
      <c r="K10" s="2">
        <v>1.6</v>
      </c>
      <c r="M10" s="2">
        <v>120.8</v>
      </c>
      <c r="N10" s="2">
        <v>1.6</v>
      </c>
      <c r="P10" s="2">
        <v>124.8</v>
      </c>
      <c r="Q10" s="2">
        <v>1.6</v>
      </c>
      <c r="S10" s="2">
        <v>124.8</v>
      </c>
      <c r="T10" s="2">
        <v>1.6</v>
      </c>
      <c r="V10" s="2">
        <v>126.8</v>
      </c>
      <c r="W10" s="2">
        <v>1.6</v>
      </c>
      <c r="Y10" s="14">
        <v>7</v>
      </c>
      <c r="Z10" s="2">
        <v>3.1</v>
      </c>
      <c r="AB10" s="14">
        <v>7</v>
      </c>
      <c r="AC10" s="2">
        <v>3.1</v>
      </c>
    </row>
    <row r="11" spans="1:29" ht="14.4" customHeight="1" x14ac:dyDescent="0.3">
      <c r="A11" s="2">
        <v>119.3</v>
      </c>
      <c r="B11" s="2">
        <v>1.7</v>
      </c>
      <c r="C11" s="2"/>
      <c r="D11" s="2">
        <v>121.3</v>
      </c>
      <c r="E11" s="2">
        <v>1.7</v>
      </c>
      <c r="G11" s="2">
        <v>125.3</v>
      </c>
      <c r="H11" s="2">
        <v>1.7</v>
      </c>
      <c r="I11" s="2"/>
      <c r="J11" s="2">
        <v>142.30000000000001</v>
      </c>
      <c r="K11" s="2">
        <v>1.7</v>
      </c>
      <c r="M11" s="2">
        <v>115.3</v>
      </c>
      <c r="N11" s="2">
        <v>1.7</v>
      </c>
      <c r="P11" s="2">
        <v>119.3</v>
      </c>
      <c r="Q11" s="2">
        <v>1.7</v>
      </c>
      <c r="S11" s="2">
        <v>119.3</v>
      </c>
      <c r="T11" s="2">
        <v>1.7</v>
      </c>
      <c r="V11" s="2">
        <v>121.3</v>
      </c>
      <c r="W11" s="2">
        <v>1.7</v>
      </c>
      <c r="Y11" s="14">
        <v>8</v>
      </c>
      <c r="Z11" s="2">
        <v>3.2</v>
      </c>
      <c r="AB11" s="14">
        <v>8</v>
      </c>
      <c r="AC11" s="2">
        <v>3.2</v>
      </c>
    </row>
    <row r="12" spans="1:29" ht="14.4" customHeight="1" x14ac:dyDescent="0.3">
      <c r="A12" s="2">
        <v>114</v>
      </c>
      <c r="B12" s="2">
        <v>1.8</v>
      </c>
      <c r="C12" s="2"/>
      <c r="D12" s="2">
        <v>116</v>
      </c>
      <c r="E12" s="2">
        <v>1.8</v>
      </c>
      <c r="G12" s="2">
        <v>120</v>
      </c>
      <c r="H12" s="2">
        <v>1.8</v>
      </c>
      <c r="I12" s="2"/>
      <c r="J12" s="2">
        <v>137</v>
      </c>
      <c r="K12" s="2">
        <v>1.8</v>
      </c>
      <c r="M12" s="2">
        <v>110</v>
      </c>
      <c r="N12" s="2">
        <v>1.8</v>
      </c>
      <c r="P12" s="2">
        <v>114</v>
      </c>
      <c r="Q12" s="2">
        <v>1.8</v>
      </c>
      <c r="S12" s="2">
        <v>114</v>
      </c>
      <c r="T12" s="2">
        <v>1.8</v>
      </c>
      <c r="V12" s="2">
        <v>116</v>
      </c>
      <c r="W12" s="2">
        <v>1.8</v>
      </c>
      <c r="Y12" s="14">
        <v>9</v>
      </c>
      <c r="Z12" s="2">
        <v>3.3</v>
      </c>
      <c r="AB12" s="14">
        <v>9</v>
      </c>
      <c r="AC12" s="2">
        <v>3.3</v>
      </c>
    </row>
    <row r="13" spans="1:29" ht="14.4" customHeight="1" x14ac:dyDescent="0.3">
      <c r="A13" s="2">
        <v>108.9</v>
      </c>
      <c r="B13" s="2">
        <v>1.9</v>
      </c>
      <c r="C13" s="2"/>
      <c r="D13" s="2">
        <v>110.9</v>
      </c>
      <c r="E13" s="2">
        <v>1.9</v>
      </c>
      <c r="G13" s="2">
        <v>114.9</v>
      </c>
      <c r="H13" s="2">
        <v>1.9</v>
      </c>
      <c r="I13" s="2"/>
      <c r="J13" s="2">
        <v>131.9</v>
      </c>
      <c r="K13" s="2">
        <v>1.9</v>
      </c>
      <c r="M13" s="2">
        <v>104.9</v>
      </c>
      <c r="N13" s="2">
        <v>1.9</v>
      </c>
      <c r="P13" s="2">
        <v>108.9</v>
      </c>
      <c r="Q13" s="2">
        <v>1.9</v>
      </c>
      <c r="S13" s="2">
        <v>108.9</v>
      </c>
      <c r="T13" s="2">
        <v>1.9</v>
      </c>
      <c r="V13" s="2">
        <v>110.9</v>
      </c>
      <c r="W13" s="2">
        <v>1.9</v>
      </c>
      <c r="Y13" s="14">
        <v>10</v>
      </c>
      <c r="Z13" s="2">
        <v>3.4</v>
      </c>
      <c r="AB13" s="14">
        <v>10</v>
      </c>
      <c r="AC13" s="2">
        <v>3.4</v>
      </c>
    </row>
    <row r="14" spans="1:29" ht="14.4" customHeight="1" x14ac:dyDescent="0.3">
      <c r="A14" s="2">
        <v>104</v>
      </c>
      <c r="B14" s="2">
        <v>2</v>
      </c>
      <c r="C14" s="2"/>
      <c r="D14" s="2">
        <v>106</v>
      </c>
      <c r="E14" s="2">
        <v>2</v>
      </c>
      <c r="G14" s="2">
        <v>110</v>
      </c>
      <c r="H14" s="2">
        <v>2</v>
      </c>
      <c r="I14" s="2"/>
      <c r="J14" s="2">
        <v>127</v>
      </c>
      <c r="K14" s="2">
        <v>2</v>
      </c>
      <c r="M14" s="2">
        <v>100</v>
      </c>
      <c r="N14" s="2">
        <v>2</v>
      </c>
      <c r="P14" s="2">
        <v>104</v>
      </c>
      <c r="Q14" s="2">
        <v>2</v>
      </c>
      <c r="S14" s="2">
        <v>104</v>
      </c>
      <c r="T14" s="2">
        <v>2</v>
      </c>
      <c r="V14" s="2">
        <v>106</v>
      </c>
      <c r="W14" s="2">
        <v>2</v>
      </c>
      <c r="Y14" s="14">
        <v>11</v>
      </c>
      <c r="Z14" s="2">
        <v>3.5</v>
      </c>
      <c r="AB14" s="14">
        <v>11</v>
      </c>
      <c r="AC14" s="2">
        <v>3.5</v>
      </c>
    </row>
    <row r="15" spans="1:29" ht="14.4" customHeight="1" x14ac:dyDescent="0.3">
      <c r="A15" s="2">
        <v>99.3</v>
      </c>
      <c r="B15" s="2">
        <v>2.1</v>
      </c>
      <c r="C15" s="2"/>
      <c r="D15" s="2">
        <v>101.3</v>
      </c>
      <c r="E15" s="2">
        <v>2.1</v>
      </c>
      <c r="G15" s="2">
        <v>105.3</v>
      </c>
      <c r="H15" s="2">
        <v>2.1</v>
      </c>
      <c r="I15" s="2"/>
      <c r="J15" s="2">
        <v>122.3</v>
      </c>
      <c r="K15" s="2">
        <v>2.1</v>
      </c>
      <c r="M15" s="2">
        <v>95.3</v>
      </c>
      <c r="N15" s="2">
        <v>2.1</v>
      </c>
      <c r="P15" s="2">
        <v>99.3</v>
      </c>
      <c r="Q15" s="2">
        <v>2.1</v>
      </c>
      <c r="S15" s="2">
        <v>99.3</v>
      </c>
      <c r="T15" s="2">
        <v>2.1</v>
      </c>
      <c r="V15" s="2">
        <v>101.3</v>
      </c>
      <c r="W15" s="2">
        <v>2.1</v>
      </c>
      <c r="Y15" s="14">
        <v>12</v>
      </c>
      <c r="Z15" s="2">
        <v>3.6</v>
      </c>
      <c r="AB15" s="14">
        <v>12</v>
      </c>
      <c r="AC15" s="2">
        <v>3.6</v>
      </c>
    </row>
    <row r="16" spans="1:29" ht="14.4" customHeight="1" x14ac:dyDescent="0.3">
      <c r="A16" s="2">
        <v>94.8</v>
      </c>
      <c r="B16" s="2">
        <v>2.2000000000000002</v>
      </c>
      <c r="C16" s="2"/>
      <c r="D16" s="2">
        <v>96.8</v>
      </c>
      <c r="E16" s="2">
        <v>2.2000000000000002</v>
      </c>
      <c r="G16" s="2">
        <v>100.8</v>
      </c>
      <c r="H16" s="2">
        <v>2.2000000000000002</v>
      </c>
      <c r="I16" s="2"/>
      <c r="J16" s="2">
        <v>117.8</v>
      </c>
      <c r="K16" s="2">
        <v>2.2000000000000002</v>
      </c>
      <c r="M16" s="2">
        <v>90.8</v>
      </c>
      <c r="N16" s="2">
        <v>2.2000000000000002</v>
      </c>
      <c r="P16" s="2">
        <v>94.8</v>
      </c>
      <c r="Q16" s="2">
        <v>2.2000000000000002</v>
      </c>
      <c r="S16" s="2">
        <v>94.8</v>
      </c>
      <c r="T16" s="2">
        <v>2.2000000000000002</v>
      </c>
      <c r="V16" s="2">
        <v>96.8</v>
      </c>
      <c r="W16" s="2">
        <v>2.2000000000000002</v>
      </c>
      <c r="Y16" s="14">
        <v>13</v>
      </c>
      <c r="Z16" s="2">
        <v>3.7</v>
      </c>
      <c r="AB16" s="14">
        <v>13</v>
      </c>
      <c r="AC16" s="2">
        <v>3.7</v>
      </c>
    </row>
    <row r="17" spans="1:29" ht="14.4" customHeight="1" x14ac:dyDescent="0.3">
      <c r="A17" s="2">
        <v>90.5</v>
      </c>
      <c r="B17" s="2">
        <v>2.2999999999999998</v>
      </c>
      <c r="C17" s="2"/>
      <c r="D17" s="2">
        <v>92.5</v>
      </c>
      <c r="E17" s="2">
        <v>2.2999999999999998</v>
      </c>
      <c r="G17" s="2">
        <v>96.5</v>
      </c>
      <c r="H17" s="2">
        <v>2.2999999999999998</v>
      </c>
      <c r="I17" s="2"/>
      <c r="J17" s="2">
        <v>113.5</v>
      </c>
      <c r="K17" s="2">
        <v>2.2999999999999998</v>
      </c>
      <c r="M17" s="2">
        <v>86.5</v>
      </c>
      <c r="N17" s="2">
        <v>2.2999999999999998</v>
      </c>
      <c r="P17" s="2">
        <v>90.5</v>
      </c>
      <c r="Q17" s="2">
        <v>2.2999999999999998</v>
      </c>
      <c r="S17" s="2">
        <v>90.5</v>
      </c>
      <c r="T17" s="2">
        <v>2.2999999999999998</v>
      </c>
      <c r="V17" s="2">
        <v>92.5</v>
      </c>
      <c r="W17" s="2">
        <v>2.2999999999999998</v>
      </c>
      <c r="Y17" s="14">
        <v>14</v>
      </c>
      <c r="Z17" s="2">
        <v>3.8</v>
      </c>
      <c r="AB17" s="14">
        <v>14</v>
      </c>
      <c r="AC17" s="2">
        <v>3.8</v>
      </c>
    </row>
    <row r="18" spans="1:29" ht="14.4" customHeight="1" x14ac:dyDescent="0.3">
      <c r="A18" s="2">
        <v>86.4</v>
      </c>
      <c r="B18" s="2">
        <v>2.4</v>
      </c>
      <c r="C18" s="2"/>
      <c r="D18" s="2">
        <v>88.4</v>
      </c>
      <c r="E18" s="2">
        <v>2.4</v>
      </c>
      <c r="G18" s="2">
        <v>92.4</v>
      </c>
      <c r="H18" s="2">
        <v>2.4</v>
      </c>
      <c r="I18" s="2"/>
      <c r="J18" s="2">
        <v>109.4</v>
      </c>
      <c r="K18" s="2">
        <v>2.4</v>
      </c>
      <c r="M18" s="2">
        <v>82.4</v>
      </c>
      <c r="N18" s="2">
        <v>2.4</v>
      </c>
      <c r="P18" s="2">
        <v>86.4</v>
      </c>
      <c r="Q18" s="2">
        <v>2.4</v>
      </c>
      <c r="S18" s="2">
        <v>86.4</v>
      </c>
      <c r="T18" s="2">
        <v>2.4</v>
      </c>
      <c r="V18" s="2">
        <v>88.4</v>
      </c>
      <c r="W18" s="2">
        <v>2.4</v>
      </c>
      <c r="Y18" s="14">
        <v>15</v>
      </c>
      <c r="Z18" s="2">
        <v>3.9</v>
      </c>
      <c r="AB18" s="14">
        <v>15</v>
      </c>
      <c r="AC18" s="2">
        <v>3.9</v>
      </c>
    </row>
    <row r="19" spans="1:29" ht="14.4" customHeight="1" x14ac:dyDescent="0.3">
      <c r="A19" s="2">
        <v>82.5</v>
      </c>
      <c r="B19" s="2">
        <v>2.5</v>
      </c>
      <c r="C19" s="2"/>
      <c r="D19" s="2">
        <v>84.5</v>
      </c>
      <c r="E19" s="2">
        <v>2.5</v>
      </c>
      <c r="G19" s="2">
        <v>88.5</v>
      </c>
      <c r="H19" s="2">
        <v>2.5</v>
      </c>
      <c r="I19" s="2"/>
      <c r="J19" s="2">
        <v>105.5</v>
      </c>
      <c r="K19" s="2">
        <v>2.5</v>
      </c>
      <c r="M19" s="2">
        <v>78.5</v>
      </c>
      <c r="N19" s="2">
        <v>2.5</v>
      </c>
      <c r="P19" s="2">
        <v>82.5</v>
      </c>
      <c r="Q19" s="2">
        <v>2.5</v>
      </c>
      <c r="S19" s="2">
        <v>82.5</v>
      </c>
      <c r="T19" s="2">
        <v>2.5</v>
      </c>
      <c r="V19" s="2">
        <v>84.5</v>
      </c>
      <c r="W19" s="2">
        <v>2.5</v>
      </c>
      <c r="Y19" s="14">
        <v>16</v>
      </c>
      <c r="Z19" s="2">
        <v>4</v>
      </c>
      <c r="AB19" s="14">
        <v>16</v>
      </c>
      <c r="AC19" s="2">
        <v>4</v>
      </c>
    </row>
    <row r="20" spans="1:29" ht="14.4" customHeight="1" x14ac:dyDescent="0.3">
      <c r="A20" s="2">
        <v>78.8</v>
      </c>
      <c r="B20" s="2">
        <v>2.6</v>
      </c>
      <c r="C20" s="2"/>
      <c r="D20" s="2">
        <v>80.8</v>
      </c>
      <c r="E20" s="2">
        <v>2.6</v>
      </c>
      <c r="G20" s="2">
        <v>84.8</v>
      </c>
      <c r="H20" s="2">
        <v>2.6</v>
      </c>
      <c r="I20" s="2"/>
      <c r="J20" s="2">
        <v>101.8</v>
      </c>
      <c r="K20" s="2">
        <v>2.6</v>
      </c>
      <c r="M20" s="2">
        <v>74.8</v>
      </c>
      <c r="N20" s="2">
        <v>2.6</v>
      </c>
      <c r="P20" s="2">
        <v>78.8</v>
      </c>
      <c r="Q20" s="2">
        <v>2.6</v>
      </c>
      <c r="S20" s="2">
        <v>78.8</v>
      </c>
      <c r="T20" s="2">
        <v>2.6</v>
      </c>
      <c r="V20" s="2">
        <v>80.8</v>
      </c>
      <c r="W20" s="2">
        <v>2.6</v>
      </c>
      <c r="Y20" s="14">
        <v>17</v>
      </c>
      <c r="Z20" s="2">
        <v>4.0999999999999996</v>
      </c>
      <c r="AB20" s="14">
        <v>17</v>
      </c>
      <c r="AC20" s="2">
        <v>4.0999999999999996</v>
      </c>
    </row>
    <row r="21" spans="1:29" ht="14.4" customHeight="1" x14ac:dyDescent="0.3">
      <c r="A21" s="2">
        <v>75.3</v>
      </c>
      <c r="B21" s="2">
        <v>2.7</v>
      </c>
      <c r="C21" s="2"/>
      <c r="D21" s="2">
        <v>77.3</v>
      </c>
      <c r="E21" s="2">
        <v>2.7</v>
      </c>
      <c r="G21" s="2">
        <v>81.3</v>
      </c>
      <c r="H21" s="2">
        <v>2.7</v>
      </c>
      <c r="I21" s="2"/>
      <c r="J21" s="2">
        <v>98.3</v>
      </c>
      <c r="K21" s="2">
        <v>2.7</v>
      </c>
      <c r="M21" s="2">
        <v>71.3</v>
      </c>
      <c r="N21" s="2">
        <v>2.7</v>
      </c>
      <c r="P21" s="2">
        <v>75.3</v>
      </c>
      <c r="Q21" s="2">
        <v>2.7</v>
      </c>
      <c r="S21" s="2">
        <v>75.3</v>
      </c>
      <c r="T21" s="2">
        <v>2.7</v>
      </c>
      <c r="V21" s="2">
        <v>77.3</v>
      </c>
      <c r="W21" s="2">
        <v>2.7</v>
      </c>
      <c r="Y21" s="14">
        <v>18</v>
      </c>
      <c r="Z21" s="2">
        <v>4.2</v>
      </c>
      <c r="AB21" s="14">
        <v>18</v>
      </c>
      <c r="AC21" s="2">
        <v>4.2</v>
      </c>
    </row>
    <row r="22" spans="1:29" ht="14.4" customHeight="1" x14ac:dyDescent="0.3">
      <c r="A22" s="2">
        <v>72</v>
      </c>
      <c r="B22" s="2">
        <v>2.8</v>
      </c>
      <c r="C22" s="2"/>
      <c r="D22" s="2">
        <v>74</v>
      </c>
      <c r="E22" s="2">
        <v>2.8</v>
      </c>
      <c r="G22" s="2">
        <v>78</v>
      </c>
      <c r="H22" s="2">
        <v>2.8</v>
      </c>
      <c r="I22" s="2"/>
      <c r="J22" s="2">
        <v>95</v>
      </c>
      <c r="K22" s="2">
        <v>2.8</v>
      </c>
      <c r="M22" s="2">
        <v>68</v>
      </c>
      <c r="N22" s="2">
        <v>2.8</v>
      </c>
      <c r="P22" s="2">
        <v>72</v>
      </c>
      <c r="Q22" s="2">
        <v>2.8</v>
      </c>
      <c r="S22" s="2">
        <v>72</v>
      </c>
      <c r="T22" s="2">
        <v>2.8</v>
      </c>
      <c r="V22" s="2">
        <v>74</v>
      </c>
      <c r="W22" s="2">
        <v>2.8</v>
      </c>
      <c r="Y22" s="14">
        <v>19</v>
      </c>
      <c r="Z22" s="2">
        <v>4.4000000000000004</v>
      </c>
      <c r="AB22" s="14">
        <v>19</v>
      </c>
      <c r="AC22" s="2">
        <v>4.4000000000000004</v>
      </c>
    </row>
    <row r="23" spans="1:29" ht="14.4" customHeight="1" x14ac:dyDescent="0.3">
      <c r="A23" s="2">
        <v>68.900000000000006</v>
      </c>
      <c r="B23" s="2">
        <v>2.9</v>
      </c>
      <c r="C23" s="2"/>
      <c r="D23" s="2">
        <v>70.900000000000006</v>
      </c>
      <c r="E23" s="2">
        <v>2.9</v>
      </c>
      <c r="G23" s="2">
        <v>74.900000000000006</v>
      </c>
      <c r="H23" s="2">
        <v>2.9</v>
      </c>
      <c r="I23" s="2"/>
      <c r="J23" s="2">
        <v>91.9</v>
      </c>
      <c r="K23" s="2">
        <v>2.9</v>
      </c>
      <c r="M23" s="2">
        <v>64.900000000000006</v>
      </c>
      <c r="N23" s="2">
        <v>2.9</v>
      </c>
      <c r="P23" s="2">
        <v>68.900000000000006</v>
      </c>
      <c r="Q23" s="2">
        <v>2.9</v>
      </c>
      <c r="S23" s="2">
        <v>68.900000000000006</v>
      </c>
      <c r="T23" s="2">
        <v>2.9</v>
      </c>
      <c r="V23" s="2">
        <v>70.900000000000006</v>
      </c>
      <c r="W23" s="2">
        <v>2.9</v>
      </c>
      <c r="Y23" s="14">
        <v>20</v>
      </c>
      <c r="Z23" s="2">
        <v>4.5</v>
      </c>
      <c r="AB23" s="14">
        <v>20</v>
      </c>
      <c r="AC23" s="2">
        <v>4.5</v>
      </c>
    </row>
    <row r="24" spans="1:29" ht="14.4" customHeight="1" x14ac:dyDescent="0.3">
      <c r="A24" s="2">
        <v>66</v>
      </c>
      <c r="B24" s="2">
        <v>3</v>
      </c>
      <c r="C24" s="2"/>
      <c r="D24" s="2">
        <v>68</v>
      </c>
      <c r="E24" s="2">
        <v>3</v>
      </c>
      <c r="G24" s="2">
        <v>72</v>
      </c>
      <c r="H24" s="2">
        <v>3</v>
      </c>
      <c r="I24" s="2"/>
      <c r="J24" s="2">
        <v>89</v>
      </c>
      <c r="K24" s="2">
        <v>3</v>
      </c>
      <c r="M24" s="2">
        <v>62</v>
      </c>
      <c r="N24" s="2">
        <v>3</v>
      </c>
      <c r="P24" s="2">
        <v>66</v>
      </c>
      <c r="Q24" s="2">
        <v>3</v>
      </c>
      <c r="S24" s="2">
        <v>66</v>
      </c>
      <c r="T24" s="2">
        <v>3</v>
      </c>
      <c r="V24" s="2">
        <v>68</v>
      </c>
      <c r="W24" s="2">
        <v>3</v>
      </c>
      <c r="Y24" s="14">
        <v>21</v>
      </c>
      <c r="Z24" s="2">
        <v>4.5999999999999996</v>
      </c>
      <c r="AB24" s="14">
        <v>21</v>
      </c>
      <c r="AC24" s="2">
        <v>4.5999999999999996</v>
      </c>
    </row>
    <row r="25" spans="1:29" ht="14.4" customHeight="1" x14ac:dyDescent="0.3">
      <c r="A25" s="2">
        <v>63.3</v>
      </c>
      <c r="B25" s="2">
        <v>3.1</v>
      </c>
      <c r="C25" s="2"/>
      <c r="D25" s="2">
        <v>65.3</v>
      </c>
      <c r="E25" s="2">
        <v>3.1</v>
      </c>
      <c r="G25" s="2">
        <v>69.3</v>
      </c>
      <c r="H25" s="2">
        <v>3.1</v>
      </c>
      <c r="I25" s="2"/>
      <c r="J25" s="2">
        <v>86.3</v>
      </c>
      <c r="K25" s="2">
        <v>3.1</v>
      </c>
      <c r="M25" s="2">
        <v>59.3</v>
      </c>
      <c r="N25" s="2">
        <v>3.1</v>
      </c>
      <c r="P25" s="2">
        <v>63.3</v>
      </c>
      <c r="Q25" s="2">
        <v>3.1</v>
      </c>
      <c r="S25" s="2">
        <v>63.3</v>
      </c>
      <c r="T25" s="2">
        <v>3.1</v>
      </c>
      <c r="V25" s="2">
        <v>65.3</v>
      </c>
      <c r="W25" s="2">
        <v>3.1</v>
      </c>
      <c r="Y25" s="14">
        <v>22</v>
      </c>
      <c r="Z25" s="2">
        <v>4.8</v>
      </c>
      <c r="AB25" s="14">
        <v>22</v>
      </c>
      <c r="AC25" s="2">
        <v>4.8</v>
      </c>
    </row>
    <row r="26" spans="1:29" ht="14.4" customHeight="1" x14ac:dyDescent="0.3">
      <c r="A26" s="2">
        <v>60.8</v>
      </c>
      <c r="B26" s="2">
        <v>3.2</v>
      </c>
      <c r="C26" s="2"/>
      <c r="D26" s="2">
        <v>62.8</v>
      </c>
      <c r="E26" s="2">
        <v>3.2</v>
      </c>
      <c r="G26" s="2">
        <v>66.8</v>
      </c>
      <c r="H26" s="2">
        <v>3.2</v>
      </c>
      <c r="I26" s="2"/>
      <c r="J26" s="2">
        <v>83.8</v>
      </c>
      <c r="K26" s="2">
        <v>3.2</v>
      </c>
      <c r="M26" s="2">
        <v>56.8</v>
      </c>
      <c r="N26" s="2">
        <v>3.2</v>
      </c>
      <c r="P26" s="2">
        <v>60.8</v>
      </c>
      <c r="Q26" s="2">
        <v>3.2</v>
      </c>
      <c r="S26" s="2">
        <v>60.8</v>
      </c>
      <c r="T26" s="2">
        <v>3.2</v>
      </c>
      <c r="V26" s="2">
        <v>62.8</v>
      </c>
      <c r="W26" s="2">
        <v>3.2</v>
      </c>
      <c r="Y26" s="14">
        <v>23</v>
      </c>
      <c r="Z26" s="2">
        <v>4.9000000000000004</v>
      </c>
      <c r="AB26" s="14">
        <v>23</v>
      </c>
      <c r="AC26" s="2">
        <v>4.9000000000000004</v>
      </c>
    </row>
    <row r="27" spans="1:29" ht="14.4" customHeight="1" x14ac:dyDescent="0.3">
      <c r="A27" s="2">
        <v>58.5</v>
      </c>
      <c r="B27" s="2">
        <v>3.3</v>
      </c>
      <c r="C27" s="2"/>
      <c r="D27" s="2">
        <v>60.5</v>
      </c>
      <c r="E27" s="2">
        <v>3.3</v>
      </c>
      <c r="G27" s="2">
        <v>64.5</v>
      </c>
      <c r="H27" s="2">
        <v>3.3</v>
      </c>
      <c r="I27" s="2"/>
      <c r="J27" s="2">
        <v>81.5</v>
      </c>
      <c r="K27" s="2">
        <v>3.3</v>
      </c>
      <c r="M27" s="2">
        <v>54.5</v>
      </c>
      <c r="N27" s="2">
        <v>3.3</v>
      </c>
      <c r="P27" s="2">
        <v>58.5</v>
      </c>
      <c r="Q27" s="2">
        <v>3.3</v>
      </c>
      <c r="S27" s="2">
        <v>58.5</v>
      </c>
      <c r="T27" s="2">
        <v>3.3</v>
      </c>
      <c r="V27" s="2">
        <v>60.5</v>
      </c>
      <c r="W27" s="2">
        <v>3.3</v>
      </c>
      <c r="Y27" s="14">
        <v>24</v>
      </c>
      <c r="Z27" s="2">
        <v>5</v>
      </c>
      <c r="AB27" s="14">
        <v>24</v>
      </c>
      <c r="AC27" s="2">
        <v>5</v>
      </c>
    </row>
    <row r="28" spans="1:29" ht="14.4" customHeight="1" x14ac:dyDescent="0.3">
      <c r="A28" s="2">
        <v>56.4</v>
      </c>
      <c r="B28" s="2">
        <v>3.4</v>
      </c>
      <c r="C28" s="2"/>
      <c r="D28" s="2">
        <v>58.4</v>
      </c>
      <c r="E28" s="2">
        <v>3.4</v>
      </c>
      <c r="G28" s="2">
        <v>62.4</v>
      </c>
      <c r="H28" s="2">
        <v>3.4</v>
      </c>
      <c r="I28" s="2"/>
      <c r="J28" s="2">
        <v>79.400000000000006</v>
      </c>
      <c r="K28" s="2">
        <v>3.4</v>
      </c>
      <c r="M28" s="2">
        <v>52.4</v>
      </c>
      <c r="N28" s="2">
        <v>3.4</v>
      </c>
      <c r="P28" s="2">
        <v>56.4</v>
      </c>
      <c r="Q28" s="2">
        <v>3.4</v>
      </c>
      <c r="S28" s="2">
        <v>56.4</v>
      </c>
      <c r="T28" s="2">
        <v>3.4</v>
      </c>
      <c r="V28" s="2">
        <v>58.4</v>
      </c>
      <c r="W28" s="2">
        <v>3.4</v>
      </c>
      <c r="Y28" s="14">
        <v>25</v>
      </c>
      <c r="Z28" s="2">
        <v>5.0999999999999996</v>
      </c>
      <c r="AB28" s="14">
        <v>25</v>
      </c>
      <c r="AC28" s="2">
        <v>5.0999999999999996</v>
      </c>
    </row>
    <row r="29" spans="1:29" ht="14.4" customHeight="1" x14ac:dyDescent="0.3">
      <c r="A29" s="2">
        <v>54.5</v>
      </c>
      <c r="B29" s="2">
        <v>3.5</v>
      </c>
      <c r="C29" s="2"/>
      <c r="D29" s="2">
        <v>56.5</v>
      </c>
      <c r="E29" s="2">
        <v>3.5</v>
      </c>
      <c r="G29" s="2">
        <v>60.5</v>
      </c>
      <c r="H29" s="2">
        <v>3.5</v>
      </c>
      <c r="I29" s="2"/>
      <c r="J29" s="2">
        <v>77.5</v>
      </c>
      <c r="K29" s="2">
        <v>3.5</v>
      </c>
      <c r="M29" s="2">
        <v>50.5</v>
      </c>
      <c r="N29" s="2">
        <v>3.5</v>
      </c>
      <c r="P29" s="2">
        <v>54.5</v>
      </c>
      <c r="Q29" s="2">
        <v>3.5</v>
      </c>
      <c r="S29" s="2">
        <v>54.5</v>
      </c>
      <c r="T29" s="2">
        <v>3.5</v>
      </c>
      <c r="V29" s="2">
        <v>56.5</v>
      </c>
      <c r="W29" s="2">
        <v>3.5</v>
      </c>
      <c r="Y29" s="14">
        <v>26</v>
      </c>
      <c r="Z29" s="2">
        <v>5.2</v>
      </c>
      <c r="AB29" s="14">
        <v>26</v>
      </c>
      <c r="AC29" s="2">
        <v>5.2</v>
      </c>
    </row>
    <row r="30" spans="1:29" ht="14.4" customHeight="1" x14ac:dyDescent="0.3">
      <c r="A30" s="2">
        <v>52.8</v>
      </c>
      <c r="B30" s="2">
        <v>3.6</v>
      </c>
      <c r="C30" s="2"/>
      <c r="D30" s="2">
        <v>54.8</v>
      </c>
      <c r="E30" s="2">
        <v>3.6</v>
      </c>
      <c r="G30" s="2">
        <v>58.8</v>
      </c>
      <c r="H30" s="2">
        <v>3.6</v>
      </c>
      <c r="I30" s="2"/>
      <c r="J30" s="2">
        <v>75.8</v>
      </c>
      <c r="K30" s="2">
        <v>3.6</v>
      </c>
      <c r="M30" s="2">
        <v>48.8</v>
      </c>
      <c r="N30" s="2">
        <v>3.6</v>
      </c>
      <c r="P30" s="2">
        <v>52.8</v>
      </c>
      <c r="Q30" s="2">
        <v>3.6</v>
      </c>
      <c r="S30" s="2">
        <v>52.8</v>
      </c>
      <c r="T30" s="2">
        <v>3.6</v>
      </c>
      <c r="V30" s="2">
        <v>54.8</v>
      </c>
      <c r="W30" s="2">
        <v>3.6</v>
      </c>
      <c r="Y30" s="14">
        <v>27</v>
      </c>
      <c r="Z30" s="2">
        <v>5.4</v>
      </c>
      <c r="AB30" s="14">
        <v>27</v>
      </c>
      <c r="AC30" s="2">
        <v>5.4</v>
      </c>
    </row>
    <row r="31" spans="1:29" ht="14.4" customHeight="1" x14ac:dyDescent="0.3">
      <c r="A31" s="2">
        <v>51.3</v>
      </c>
      <c r="B31" s="2">
        <v>3.7</v>
      </c>
      <c r="C31" s="2"/>
      <c r="D31" s="2">
        <v>53.3</v>
      </c>
      <c r="E31" s="2">
        <v>3.7</v>
      </c>
      <c r="G31" s="2">
        <v>57.3</v>
      </c>
      <c r="H31" s="2">
        <v>3.7</v>
      </c>
      <c r="I31" s="2"/>
      <c r="J31" s="2">
        <v>74.3</v>
      </c>
      <c r="K31" s="2">
        <v>3.7</v>
      </c>
      <c r="M31" s="2">
        <v>47.3</v>
      </c>
      <c r="N31" s="2">
        <v>3.7</v>
      </c>
      <c r="P31" s="2">
        <v>51.3</v>
      </c>
      <c r="Q31" s="2">
        <v>3.7</v>
      </c>
      <c r="S31" s="2">
        <v>51.3</v>
      </c>
      <c r="T31" s="2">
        <v>3.7</v>
      </c>
      <c r="V31" s="2">
        <v>53.3</v>
      </c>
      <c r="W31" s="2">
        <v>3.7</v>
      </c>
      <c r="Y31" s="14">
        <v>28</v>
      </c>
      <c r="Z31" s="2">
        <v>5.5</v>
      </c>
      <c r="AB31" s="14">
        <v>28</v>
      </c>
      <c r="AC31" s="2">
        <v>5.5</v>
      </c>
    </row>
    <row r="32" spans="1:29" ht="14.4" customHeight="1" x14ac:dyDescent="0.3">
      <c r="A32" s="2">
        <v>50</v>
      </c>
      <c r="B32" s="2">
        <v>3.8</v>
      </c>
      <c r="C32" s="2"/>
      <c r="D32" s="2">
        <v>52</v>
      </c>
      <c r="E32" s="2">
        <v>3.8</v>
      </c>
      <c r="G32" s="2">
        <v>56</v>
      </c>
      <c r="H32" s="2">
        <v>3.8</v>
      </c>
      <c r="I32" s="2"/>
      <c r="J32" s="2">
        <v>73</v>
      </c>
      <c r="K32" s="2">
        <v>3.8</v>
      </c>
      <c r="M32" s="2">
        <v>46</v>
      </c>
      <c r="N32" s="2">
        <v>3.8</v>
      </c>
      <c r="P32" s="2">
        <v>50</v>
      </c>
      <c r="Q32" s="2">
        <v>3.8</v>
      </c>
      <c r="S32" s="2">
        <v>50</v>
      </c>
      <c r="T32" s="2">
        <v>3.8</v>
      </c>
      <c r="V32" s="2">
        <v>52</v>
      </c>
      <c r="W32" s="2">
        <v>3.8</v>
      </c>
      <c r="Y32" s="14">
        <v>29</v>
      </c>
      <c r="Z32" s="2">
        <v>5.6</v>
      </c>
      <c r="AB32" s="14">
        <v>29</v>
      </c>
      <c r="AC32" s="2">
        <v>5.6</v>
      </c>
    </row>
    <row r="33" spans="1:29" ht="14.4" customHeight="1" x14ac:dyDescent="0.3">
      <c r="A33" s="8">
        <v>48.9</v>
      </c>
      <c r="B33" s="8">
        <v>3.9</v>
      </c>
      <c r="C33" s="8"/>
      <c r="D33" s="8">
        <v>50.9</v>
      </c>
      <c r="E33" s="8">
        <v>3.9</v>
      </c>
      <c r="F33" s="79"/>
      <c r="G33" s="8">
        <v>54.9</v>
      </c>
      <c r="H33" s="8">
        <v>3.9</v>
      </c>
      <c r="I33" s="8"/>
      <c r="J33" s="8">
        <v>71.900000000000006</v>
      </c>
      <c r="K33" s="8">
        <v>3.9</v>
      </c>
      <c r="L33" s="79"/>
      <c r="M33" s="8">
        <v>44.9</v>
      </c>
      <c r="N33" s="8">
        <v>3.9</v>
      </c>
      <c r="O33" s="79"/>
      <c r="P33" s="8">
        <v>48.9</v>
      </c>
      <c r="Q33" s="8">
        <v>3.9</v>
      </c>
      <c r="R33" s="79"/>
      <c r="S33" s="8">
        <v>48.9</v>
      </c>
      <c r="T33" s="8">
        <v>3.9</v>
      </c>
      <c r="U33" s="79"/>
      <c r="V33" s="8">
        <v>50.9</v>
      </c>
      <c r="W33" s="2">
        <v>3.9</v>
      </c>
      <c r="Y33" s="14">
        <v>30</v>
      </c>
      <c r="Z33" s="2">
        <v>5.8</v>
      </c>
      <c r="AB33" s="14">
        <v>30</v>
      </c>
      <c r="AC33" s="2">
        <v>5.8</v>
      </c>
    </row>
    <row r="34" spans="1:29" ht="14.4" customHeight="1" x14ac:dyDescent="0.3">
      <c r="A34" s="8">
        <v>48</v>
      </c>
      <c r="B34" s="8">
        <v>4</v>
      </c>
      <c r="C34" s="8"/>
      <c r="D34" s="8">
        <v>50</v>
      </c>
      <c r="E34" s="8">
        <v>4</v>
      </c>
      <c r="F34" s="79"/>
      <c r="G34" s="8">
        <v>54</v>
      </c>
      <c r="H34" s="8">
        <v>4</v>
      </c>
      <c r="I34" s="8"/>
      <c r="J34" s="8">
        <v>71</v>
      </c>
      <c r="K34" s="8">
        <v>4</v>
      </c>
      <c r="L34" s="79"/>
      <c r="M34" s="8">
        <v>44</v>
      </c>
      <c r="N34" s="8">
        <v>4</v>
      </c>
      <c r="O34" s="79"/>
      <c r="P34" s="8">
        <v>48</v>
      </c>
      <c r="Q34" s="8">
        <v>4</v>
      </c>
      <c r="R34" s="79"/>
      <c r="S34" s="8">
        <v>48</v>
      </c>
      <c r="T34" s="8">
        <v>4</v>
      </c>
      <c r="U34" s="79"/>
      <c r="V34" s="8">
        <v>50</v>
      </c>
      <c r="W34" s="2">
        <v>4</v>
      </c>
      <c r="Y34" s="14">
        <v>31</v>
      </c>
      <c r="Z34" s="2">
        <v>5.9</v>
      </c>
      <c r="AB34" s="14">
        <v>31</v>
      </c>
      <c r="AC34" s="2">
        <v>5.9</v>
      </c>
    </row>
    <row r="35" spans="1:29" ht="14.4" customHeight="1" x14ac:dyDescent="0.3">
      <c r="A35" s="8">
        <v>47.3</v>
      </c>
      <c r="B35" s="8">
        <v>4.0999999999999996</v>
      </c>
      <c r="C35" s="79"/>
      <c r="D35" s="8">
        <v>49.3</v>
      </c>
      <c r="E35" s="8">
        <v>4.0999999999999996</v>
      </c>
      <c r="F35" s="79"/>
      <c r="G35" s="8">
        <v>53.1</v>
      </c>
      <c r="H35" s="8">
        <v>4.0999999999999996</v>
      </c>
      <c r="I35" s="79"/>
      <c r="J35" s="8">
        <v>70</v>
      </c>
      <c r="K35" s="8">
        <v>4.0999999999999996</v>
      </c>
      <c r="L35" s="79"/>
      <c r="M35" s="8">
        <v>43.3</v>
      </c>
      <c r="N35" s="8">
        <v>4.0999999999999996</v>
      </c>
      <c r="O35" s="79"/>
      <c r="P35" s="8">
        <v>47.3</v>
      </c>
      <c r="Q35" s="8">
        <v>4.0999999999999996</v>
      </c>
      <c r="R35" s="79"/>
      <c r="S35" s="8">
        <v>47.3</v>
      </c>
      <c r="T35" s="8">
        <v>4.0999999999999996</v>
      </c>
      <c r="U35" s="79"/>
      <c r="V35" s="8">
        <v>49.3</v>
      </c>
      <c r="W35" s="2">
        <v>4.0999999999999996</v>
      </c>
      <c r="Y35" s="14">
        <v>32</v>
      </c>
      <c r="Z35" s="2">
        <v>6</v>
      </c>
      <c r="AB35" s="14">
        <v>32</v>
      </c>
      <c r="AC35" s="2">
        <v>6</v>
      </c>
    </row>
    <row r="36" spans="1:29" ht="14.4" customHeight="1" x14ac:dyDescent="0.3">
      <c r="A36" s="8">
        <v>46.6</v>
      </c>
      <c r="B36" s="8">
        <v>4.2</v>
      </c>
      <c r="C36" s="79"/>
      <c r="D36" s="8">
        <v>48.6</v>
      </c>
      <c r="E36" s="8">
        <v>4.2</v>
      </c>
      <c r="F36" s="79"/>
      <c r="G36" s="8">
        <v>52.2</v>
      </c>
      <c r="H36" s="8">
        <v>4.2</v>
      </c>
      <c r="I36" s="79"/>
      <c r="J36" s="8">
        <v>69</v>
      </c>
      <c r="K36" s="8">
        <v>4.2</v>
      </c>
      <c r="L36" s="79"/>
      <c r="M36" s="8">
        <v>42.6</v>
      </c>
      <c r="N36" s="8">
        <v>4.2</v>
      </c>
      <c r="O36" s="79"/>
      <c r="P36" s="8">
        <v>46.6</v>
      </c>
      <c r="Q36" s="8">
        <v>4.2</v>
      </c>
      <c r="R36" s="79"/>
      <c r="S36" s="8">
        <v>46.6</v>
      </c>
      <c r="T36" s="8">
        <v>4.2</v>
      </c>
      <c r="U36" s="79"/>
      <c r="V36" s="8">
        <v>48.6</v>
      </c>
      <c r="W36" s="2">
        <v>4.2</v>
      </c>
      <c r="Y36" s="14">
        <v>33</v>
      </c>
      <c r="Z36" s="2">
        <v>6</v>
      </c>
      <c r="AB36" s="14">
        <v>33</v>
      </c>
      <c r="AC36" s="2">
        <v>6</v>
      </c>
    </row>
    <row r="37" spans="1:29" ht="14.4" customHeight="1" x14ac:dyDescent="0.3">
      <c r="A37" s="8">
        <v>45.9</v>
      </c>
      <c r="B37" s="8">
        <v>4.3</v>
      </c>
      <c r="C37" s="79"/>
      <c r="D37" s="8">
        <v>47.9</v>
      </c>
      <c r="E37" s="8">
        <v>4.3</v>
      </c>
      <c r="F37" s="79"/>
      <c r="G37" s="8">
        <v>51.3</v>
      </c>
      <c r="H37" s="8">
        <v>4.3</v>
      </c>
      <c r="I37" s="79"/>
      <c r="J37" s="8">
        <v>68</v>
      </c>
      <c r="K37" s="8">
        <v>4.3</v>
      </c>
      <c r="L37" s="79"/>
      <c r="M37" s="8">
        <v>41.9</v>
      </c>
      <c r="N37" s="8">
        <v>4.3</v>
      </c>
      <c r="O37" s="79"/>
      <c r="P37" s="8">
        <v>45.9</v>
      </c>
      <c r="Q37" s="8">
        <v>4.3</v>
      </c>
      <c r="R37" s="79"/>
      <c r="S37" s="8">
        <v>45.9</v>
      </c>
      <c r="T37" s="8">
        <v>4.3</v>
      </c>
      <c r="U37" s="79"/>
      <c r="V37" s="8">
        <v>47.9</v>
      </c>
      <c r="W37" s="2">
        <v>4.3</v>
      </c>
      <c r="Y37" s="14">
        <v>34</v>
      </c>
      <c r="Z37" s="2">
        <v>6</v>
      </c>
      <c r="AB37" s="14">
        <v>34</v>
      </c>
      <c r="AC37" s="2">
        <v>6</v>
      </c>
    </row>
    <row r="38" spans="1:29" ht="14.4" customHeight="1" x14ac:dyDescent="0.3">
      <c r="A38" s="8">
        <v>45.2</v>
      </c>
      <c r="B38" s="8">
        <v>4.4000000000000004</v>
      </c>
      <c r="C38" s="79"/>
      <c r="D38" s="8">
        <v>47.2</v>
      </c>
      <c r="E38" s="8">
        <v>4.4000000000000004</v>
      </c>
      <c r="F38" s="79"/>
      <c r="G38" s="8">
        <v>50.4</v>
      </c>
      <c r="H38" s="8">
        <v>4.4000000000000004</v>
      </c>
      <c r="I38" s="79"/>
      <c r="J38" s="8">
        <v>67</v>
      </c>
      <c r="K38" s="8">
        <v>4.4000000000000004</v>
      </c>
      <c r="L38" s="79"/>
      <c r="M38" s="8">
        <v>41.2</v>
      </c>
      <c r="N38" s="8">
        <v>4.4000000000000004</v>
      </c>
      <c r="O38" s="79"/>
      <c r="P38" s="8">
        <v>45.2</v>
      </c>
      <c r="Q38" s="8">
        <v>4.4000000000000004</v>
      </c>
      <c r="R38" s="79"/>
      <c r="S38" s="8">
        <v>45.2</v>
      </c>
      <c r="T38" s="8">
        <v>4.4000000000000004</v>
      </c>
      <c r="U38" s="79"/>
      <c r="V38" s="8">
        <v>47.2</v>
      </c>
      <c r="W38" s="2">
        <v>4.4000000000000004</v>
      </c>
      <c r="Y38" s="14">
        <v>35</v>
      </c>
      <c r="Z38" s="2">
        <v>6</v>
      </c>
      <c r="AB38" s="14">
        <v>35</v>
      </c>
      <c r="AC38" s="2">
        <v>6</v>
      </c>
    </row>
    <row r="39" spans="1:29" ht="14.4" customHeight="1" x14ac:dyDescent="0.3">
      <c r="A39" s="2">
        <v>44.5</v>
      </c>
      <c r="B39" s="2">
        <v>4.5</v>
      </c>
      <c r="D39" s="2">
        <v>46.5</v>
      </c>
      <c r="E39" s="2">
        <v>4.5</v>
      </c>
      <c r="G39" s="2">
        <v>49.5</v>
      </c>
      <c r="H39" s="2">
        <v>4.5</v>
      </c>
      <c r="J39" s="2">
        <v>66</v>
      </c>
      <c r="K39" s="2">
        <v>4.5</v>
      </c>
      <c r="M39" s="2">
        <v>40.5</v>
      </c>
      <c r="N39" s="2">
        <v>4.5</v>
      </c>
      <c r="P39" s="2">
        <v>44.5</v>
      </c>
      <c r="Q39" s="2">
        <v>4.5</v>
      </c>
      <c r="S39" s="2">
        <v>44.5</v>
      </c>
      <c r="T39" s="2">
        <v>4.5</v>
      </c>
      <c r="V39" s="2">
        <v>46.5</v>
      </c>
      <c r="W39" s="2">
        <v>4.5</v>
      </c>
      <c r="Y39" s="14">
        <v>36</v>
      </c>
      <c r="Z39" s="2">
        <v>6</v>
      </c>
      <c r="AB39" s="14">
        <v>36</v>
      </c>
      <c r="AC39" s="2">
        <v>6</v>
      </c>
    </row>
    <row r="40" spans="1:29" ht="14.4" customHeight="1" x14ac:dyDescent="0.3">
      <c r="A40" s="2">
        <v>43.8</v>
      </c>
      <c r="B40" s="2">
        <v>4.5999999999999996</v>
      </c>
      <c r="D40" s="2">
        <v>45.8</v>
      </c>
      <c r="E40" s="2">
        <v>4.5999999999999996</v>
      </c>
      <c r="G40" s="2">
        <v>48.6</v>
      </c>
      <c r="H40" s="2">
        <v>4.5999999999999996</v>
      </c>
      <c r="J40" s="2">
        <v>65</v>
      </c>
      <c r="K40" s="2">
        <v>4.5999999999999996</v>
      </c>
      <c r="M40" s="2">
        <v>39.799999999999997</v>
      </c>
      <c r="N40" s="2">
        <v>4.5999999999999996</v>
      </c>
      <c r="P40" s="2">
        <v>43.8</v>
      </c>
      <c r="Q40" s="2">
        <v>4.5999999999999996</v>
      </c>
      <c r="S40" s="2">
        <v>43.8</v>
      </c>
      <c r="T40" s="2">
        <v>4.5999999999999996</v>
      </c>
      <c r="V40" s="2">
        <v>45.8</v>
      </c>
      <c r="W40" s="2">
        <v>4.5999999999999996</v>
      </c>
      <c r="Y40" s="171"/>
      <c r="Z40" s="8"/>
      <c r="AB40" s="171"/>
    </row>
    <row r="41" spans="1:29" x14ac:dyDescent="0.3">
      <c r="A41" s="2">
        <v>43.1</v>
      </c>
      <c r="B41" s="2">
        <v>4.7</v>
      </c>
      <c r="D41" s="2">
        <v>45.1</v>
      </c>
      <c r="E41" s="2">
        <v>4.7</v>
      </c>
      <c r="G41" s="2">
        <v>47.7</v>
      </c>
      <c r="H41" s="2">
        <v>4.7</v>
      </c>
      <c r="J41" s="2">
        <v>64</v>
      </c>
      <c r="K41" s="2">
        <v>4.7</v>
      </c>
      <c r="M41" s="2">
        <v>39.1</v>
      </c>
      <c r="N41" s="2">
        <v>4.7</v>
      </c>
      <c r="P41" s="2">
        <v>43.1</v>
      </c>
      <c r="Q41" s="2">
        <v>4.7</v>
      </c>
      <c r="S41" s="2">
        <v>43.1</v>
      </c>
      <c r="T41" s="2">
        <v>4.7</v>
      </c>
      <c r="V41" s="2">
        <v>45.1</v>
      </c>
      <c r="W41" s="2">
        <v>4.7</v>
      </c>
      <c r="Y41" s="79"/>
      <c r="Z41" s="79"/>
    </row>
    <row r="42" spans="1:29" ht="14.4" customHeight="1" x14ac:dyDescent="0.3">
      <c r="A42" s="2">
        <v>42.4</v>
      </c>
      <c r="B42" s="2">
        <v>4.8</v>
      </c>
      <c r="D42" s="2">
        <v>44.4</v>
      </c>
      <c r="E42" s="2">
        <v>4.8</v>
      </c>
      <c r="G42" s="2">
        <v>46.8</v>
      </c>
      <c r="H42" s="2">
        <v>4.8</v>
      </c>
      <c r="J42" s="2">
        <v>63</v>
      </c>
      <c r="K42" s="2">
        <v>4.8</v>
      </c>
      <c r="M42" s="2">
        <v>38.4</v>
      </c>
      <c r="N42" s="2">
        <v>4.8</v>
      </c>
      <c r="P42" s="2">
        <v>42.4</v>
      </c>
      <c r="Q42" s="2">
        <v>4.8</v>
      </c>
      <c r="S42" s="2">
        <v>42.4</v>
      </c>
      <c r="T42" s="2">
        <v>4.8</v>
      </c>
      <c r="V42" s="2">
        <v>44.4</v>
      </c>
      <c r="W42" s="2">
        <v>4.8</v>
      </c>
      <c r="Z42" s="79"/>
    </row>
    <row r="43" spans="1:29" ht="14.4" customHeight="1" x14ac:dyDescent="0.3">
      <c r="A43" s="2">
        <v>41.7</v>
      </c>
      <c r="B43" s="2">
        <v>4.9000000000000004</v>
      </c>
      <c r="D43" s="2">
        <v>43.7</v>
      </c>
      <c r="E43" s="2">
        <v>4.9000000000000004</v>
      </c>
      <c r="G43" s="2">
        <v>45.9</v>
      </c>
      <c r="H43" s="2">
        <v>4.9000000000000004</v>
      </c>
      <c r="J43" s="2">
        <v>62</v>
      </c>
      <c r="K43" s="2">
        <v>4.9000000000000004</v>
      </c>
      <c r="M43" s="2">
        <v>37.700000000000003</v>
      </c>
      <c r="N43" s="2">
        <v>4.9000000000000004</v>
      </c>
      <c r="P43" s="2">
        <v>41.7</v>
      </c>
      <c r="Q43" s="2">
        <v>4.9000000000000004</v>
      </c>
      <c r="S43" s="2">
        <v>41.7</v>
      </c>
      <c r="T43" s="2">
        <v>4.9000000000000004</v>
      </c>
      <c r="V43" s="2">
        <v>43.7</v>
      </c>
      <c r="W43" s="2">
        <v>4.9000000000000004</v>
      </c>
      <c r="Y43" s="79"/>
      <c r="Z43" s="79"/>
    </row>
    <row r="44" spans="1:29" ht="14.4" customHeight="1" x14ac:dyDescent="0.3">
      <c r="A44" s="2">
        <v>41</v>
      </c>
      <c r="B44" s="2">
        <v>5</v>
      </c>
      <c r="D44" s="2">
        <v>43</v>
      </c>
      <c r="E44" s="2">
        <v>5</v>
      </c>
      <c r="G44" s="2">
        <v>45</v>
      </c>
      <c r="H44" s="2">
        <v>5</v>
      </c>
      <c r="J44" s="2">
        <v>61</v>
      </c>
      <c r="K44" s="2">
        <v>5</v>
      </c>
      <c r="M44" s="2">
        <v>37</v>
      </c>
      <c r="N44" s="2">
        <v>5</v>
      </c>
      <c r="P44" s="2">
        <v>41</v>
      </c>
      <c r="Q44" s="2">
        <v>5</v>
      </c>
      <c r="S44" s="2">
        <v>41</v>
      </c>
      <c r="T44" s="2">
        <v>5</v>
      </c>
      <c r="V44" s="2">
        <v>43</v>
      </c>
      <c r="W44" s="2">
        <v>5</v>
      </c>
      <c r="Y44"/>
      <c r="Z44"/>
    </row>
    <row r="45" spans="1:29" ht="14.4" customHeight="1" x14ac:dyDescent="0.3">
      <c r="A45" s="2">
        <v>40.299999999999997</v>
      </c>
      <c r="B45" s="2">
        <v>5.0999999999999996</v>
      </c>
      <c r="D45" s="2">
        <v>42.3</v>
      </c>
      <c r="E45" s="2">
        <v>5.0999999999999996</v>
      </c>
      <c r="G45" s="2">
        <v>44.1</v>
      </c>
      <c r="H45" s="2">
        <v>5.0999999999999996</v>
      </c>
      <c r="J45" s="2">
        <v>60</v>
      </c>
      <c r="K45" s="2">
        <v>5.0999999999999996</v>
      </c>
      <c r="M45" s="2">
        <v>36.299999999999997</v>
      </c>
      <c r="N45" s="2">
        <v>5.0999999999999996</v>
      </c>
      <c r="P45" s="2">
        <v>40.299999999999997</v>
      </c>
      <c r="Q45" s="2">
        <v>5.0999999999999996</v>
      </c>
      <c r="S45" s="2">
        <v>40.299999999999997</v>
      </c>
      <c r="T45" s="2">
        <v>5.0999999999999996</v>
      </c>
      <c r="V45" s="2">
        <v>42.3</v>
      </c>
      <c r="W45" s="2">
        <v>5.0999999999999996</v>
      </c>
      <c r="Y45" s="79"/>
      <c r="Z45" s="79"/>
    </row>
    <row r="46" spans="1:29" ht="14.4" customHeight="1" x14ac:dyDescent="0.3">
      <c r="A46" s="2">
        <v>39.6</v>
      </c>
      <c r="B46" s="2">
        <v>5.2</v>
      </c>
      <c r="D46" s="2">
        <v>41.6</v>
      </c>
      <c r="E46" s="2">
        <v>5.2</v>
      </c>
      <c r="G46" s="2">
        <v>43.2</v>
      </c>
      <c r="H46" s="2">
        <v>5.2</v>
      </c>
      <c r="J46" s="2">
        <v>59</v>
      </c>
      <c r="K46" s="2">
        <v>5.2</v>
      </c>
      <c r="M46" s="2">
        <v>35.6</v>
      </c>
      <c r="N46" s="2">
        <v>5.2</v>
      </c>
      <c r="P46" s="2">
        <v>39.6</v>
      </c>
      <c r="Q46" s="2">
        <v>5.2</v>
      </c>
      <c r="S46" s="2">
        <v>39.6</v>
      </c>
      <c r="T46" s="2">
        <v>5.2</v>
      </c>
      <c r="V46" s="2">
        <v>41.6</v>
      </c>
      <c r="W46" s="2">
        <v>5.2</v>
      </c>
    </row>
    <row r="47" spans="1:29" ht="14.4" customHeight="1" x14ac:dyDescent="0.3">
      <c r="A47" s="2">
        <v>38.9</v>
      </c>
      <c r="B47" s="2">
        <v>5.3</v>
      </c>
      <c r="D47" s="2">
        <v>40.9</v>
      </c>
      <c r="E47" s="2">
        <v>5.3</v>
      </c>
      <c r="G47" s="2">
        <v>42.3</v>
      </c>
      <c r="H47" s="2">
        <v>5.3</v>
      </c>
      <c r="J47" s="2">
        <v>58</v>
      </c>
      <c r="K47" s="2">
        <v>5.3</v>
      </c>
      <c r="M47" s="2">
        <v>34.9</v>
      </c>
      <c r="N47" s="2">
        <v>5.3</v>
      </c>
      <c r="P47" s="2">
        <v>38.9</v>
      </c>
      <c r="Q47" s="2">
        <v>5.3</v>
      </c>
      <c r="S47" s="2">
        <v>38.9</v>
      </c>
      <c r="T47" s="2">
        <v>5.3</v>
      </c>
      <c r="V47" s="2">
        <v>40.9</v>
      </c>
      <c r="W47" s="2">
        <v>5.3</v>
      </c>
    </row>
    <row r="48" spans="1:29" ht="14.4" customHeight="1" x14ac:dyDescent="0.3">
      <c r="A48" s="2">
        <v>38.200000000000003</v>
      </c>
      <c r="B48" s="2">
        <v>5.4</v>
      </c>
      <c r="D48" s="2">
        <v>40.200000000000003</v>
      </c>
      <c r="E48" s="2">
        <v>5.4</v>
      </c>
      <c r="G48" s="2">
        <v>41.4</v>
      </c>
      <c r="H48" s="2">
        <v>5.4</v>
      </c>
      <c r="J48" s="2">
        <v>57</v>
      </c>
      <c r="K48" s="2">
        <v>5.4</v>
      </c>
      <c r="M48" s="2">
        <v>34.200000000000003</v>
      </c>
      <c r="N48" s="2">
        <v>5.4</v>
      </c>
      <c r="P48" s="2">
        <v>38.200000000000003</v>
      </c>
      <c r="Q48" s="2">
        <v>5.4</v>
      </c>
      <c r="S48" s="2">
        <v>38.200000000000003</v>
      </c>
      <c r="T48" s="2">
        <v>5.4</v>
      </c>
      <c r="V48" s="2">
        <v>40.200000000000003</v>
      </c>
      <c r="W48" s="2">
        <v>5.4</v>
      </c>
    </row>
    <row r="49" spans="1:23" ht="14.4" customHeight="1" x14ac:dyDescent="0.3">
      <c r="A49" s="2">
        <v>37.5</v>
      </c>
      <c r="B49" s="2">
        <v>5.5</v>
      </c>
      <c r="D49" s="2">
        <v>39.5</v>
      </c>
      <c r="E49" s="2">
        <v>5.5</v>
      </c>
      <c r="G49" s="2">
        <v>40.5</v>
      </c>
      <c r="H49" s="2">
        <v>5.5</v>
      </c>
      <c r="J49" s="2">
        <v>56</v>
      </c>
      <c r="K49" s="2">
        <v>5.5</v>
      </c>
      <c r="M49" s="2">
        <v>33.5</v>
      </c>
      <c r="N49" s="2">
        <v>5.5</v>
      </c>
      <c r="P49" s="2">
        <v>37.5</v>
      </c>
      <c r="Q49" s="2">
        <v>5.5</v>
      </c>
      <c r="S49" s="2">
        <v>37.5</v>
      </c>
      <c r="T49" s="2">
        <v>5.5</v>
      </c>
      <c r="V49" s="2">
        <v>39.5</v>
      </c>
      <c r="W49" s="2">
        <v>5.5</v>
      </c>
    </row>
    <row r="50" spans="1:23" ht="14.4" customHeight="1" x14ac:dyDescent="0.3">
      <c r="A50" s="2">
        <v>36.799999999999997</v>
      </c>
      <c r="B50" s="2">
        <v>5.6</v>
      </c>
      <c r="D50" s="2">
        <v>38.799999999999997</v>
      </c>
      <c r="E50" s="2">
        <v>5.6</v>
      </c>
      <c r="G50" s="2">
        <v>39.6</v>
      </c>
      <c r="H50" s="2">
        <v>5.6</v>
      </c>
      <c r="J50" s="2">
        <v>55</v>
      </c>
      <c r="K50" s="2">
        <v>5.6</v>
      </c>
      <c r="M50" s="2">
        <v>32.799999999999997</v>
      </c>
      <c r="N50" s="2">
        <v>5.6</v>
      </c>
      <c r="P50" s="2">
        <v>36.799999999999997</v>
      </c>
      <c r="Q50" s="2">
        <v>5.6</v>
      </c>
      <c r="S50" s="2">
        <v>36.799999999999997</v>
      </c>
      <c r="T50" s="2">
        <v>5.6</v>
      </c>
      <c r="V50" s="2">
        <v>38.799999999999997</v>
      </c>
      <c r="W50" s="2">
        <v>5.6</v>
      </c>
    </row>
    <row r="51" spans="1:23" ht="14.4" customHeight="1" x14ac:dyDescent="0.3">
      <c r="A51" s="2">
        <v>36.1</v>
      </c>
      <c r="B51" s="2">
        <v>5.7</v>
      </c>
      <c r="D51" s="2">
        <v>38.1</v>
      </c>
      <c r="E51" s="2">
        <v>5.7</v>
      </c>
      <c r="G51" s="2">
        <v>38.700000000000003</v>
      </c>
      <c r="H51" s="2">
        <v>5.7</v>
      </c>
      <c r="J51" s="2">
        <v>54</v>
      </c>
      <c r="K51" s="2">
        <v>5.7</v>
      </c>
      <c r="M51" s="2">
        <v>32.1</v>
      </c>
      <c r="N51" s="2">
        <v>5.7</v>
      </c>
      <c r="P51" s="2">
        <v>36.1</v>
      </c>
      <c r="Q51" s="2">
        <v>5.7</v>
      </c>
      <c r="S51" s="2">
        <v>36.1</v>
      </c>
      <c r="T51" s="2">
        <v>5.7</v>
      </c>
      <c r="V51" s="2">
        <v>38.1</v>
      </c>
      <c r="W51" s="2">
        <v>5.7</v>
      </c>
    </row>
    <row r="52" spans="1:23" ht="14.4" customHeight="1" x14ac:dyDescent="0.3">
      <c r="A52" s="2">
        <v>35.4</v>
      </c>
      <c r="B52" s="2">
        <v>5.8</v>
      </c>
      <c r="D52" s="2">
        <v>37.4</v>
      </c>
      <c r="E52" s="2">
        <v>5.8</v>
      </c>
      <c r="G52" s="2">
        <v>37.799999999999997</v>
      </c>
      <c r="H52" s="2">
        <v>5.8</v>
      </c>
      <c r="J52" s="2">
        <v>53</v>
      </c>
      <c r="K52" s="2">
        <v>5.8</v>
      </c>
      <c r="M52" s="2">
        <v>31.4</v>
      </c>
      <c r="N52" s="2">
        <v>5.8</v>
      </c>
      <c r="P52" s="2">
        <v>35.4</v>
      </c>
      <c r="Q52" s="2">
        <v>5.8</v>
      </c>
      <c r="S52" s="2">
        <v>35.4</v>
      </c>
      <c r="T52" s="2">
        <v>5.8</v>
      </c>
      <c r="V52" s="2">
        <v>37.4</v>
      </c>
      <c r="W52" s="2">
        <v>5.8</v>
      </c>
    </row>
    <row r="53" spans="1:23" x14ac:dyDescent="0.3">
      <c r="A53" s="2">
        <v>34.700000000000003</v>
      </c>
      <c r="B53" s="2">
        <v>5.9</v>
      </c>
      <c r="D53" s="2">
        <v>36.700000000000003</v>
      </c>
      <c r="E53" s="2">
        <v>5.9</v>
      </c>
      <c r="G53" s="2">
        <v>36.9</v>
      </c>
      <c r="H53" s="2">
        <v>5.9</v>
      </c>
      <c r="J53" s="2">
        <v>52</v>
      </c>
      <c r="K53" s="2">
        <v>5.9</v>
      </c>
      <c r="M53" s="2">
        <v>30.7</v>
      </c>
      <c r="N53" s="2">
        <v>5.9</v>
      </c>
      <c r="P53" s="2">
        <v>34.700000000000003</v>
      </c>
      <c r="Q53" s="2">
        <v>5.9</v>
      </c>
      <c r="S53" s="2">
        <v>34.700000000000003</v>
      </c>
      <c r="T53" s="2">
        <v>5.9</v>
      </c>
      <c r="V53" s="2">
        <v>36.700000000000003</v>
      </c>
      <c r="W53" s="2">
        <v>5.9</v>
      </c>
    </row>
    <row r="54" spans="1:23" x14ac:dyDescent="0.3">
      <c r="A54" s="2">
        <v>34</v>
      </c>
      <c r="B54" s="2">
        <v>6</v>
      </c>
      <c r="D54" s="2">
        <v>36</v>
      </c>
      <c r="E54" s="2">
        <v>6</v>
      </c>
      <c r="G54" s="2">
        <v>36</v>
      </c>
      <c r="H54" s="2">
        <v>6</v>
      </c>
      <c r="J54" s="2">
        <v>51</v>
      </c>
      <c r="K54" s="2">
        <v>6</v>
      </c>
      <c r="M54" s="2">
        <v>30</v>
      </c>
      <c r="N54" s="2">
        <v>6</v>
      </c>
      <c r="P54" s="2">
        <v>34</v>
      </c>
      <c r="Q54" s="2">
        <v>6</v>
      </c>
      <c r="S54" s="2">
        <v>34</v>
      </c>
      <c r="T54" s="2">
        <v>6</v>
      </c>
      <c r="V54" s="2">
        <v>36</v>
      </c>
      <c r="W54" s="2">
        <v>6</v>
      </c>
    </row>
    <row r="55" spans="1:23" x14ac:dyDescent="0.3">
      <c r="A55" s="171"/>
      <c r="B55" s="2"/>
      <c r="D55" s="171"/>
      <c r="E55" s="2"/>
      <c r="G55" s="171"/>
      <c r="H55" s="2"/>
      <c r="J55" s="171"/>
      <c r="K55" s="2"/>
      <c r="M55" s="171"/>
      <c r="N55" s="2"/>
      <c r="P55" s="171"/>
      <c r="Q55" s="2"/>
      <c r="S55" s="171"/>
      <c r="T55" s="2"/>
      <c r="V55" s="171"/>
      <c r="W55" s="2"/>
    </row>
    <row r="56" spans="1:23" x14ac:dyDescent="0.3">
      <c r="B56" s="2"/>
      <c r="E56" s="2"/>
      <c r="H56" s="2"/>
      <c r="K56" s="2"/>
      <c r="N56" s="2"/>
      <c r="Q56" s="2"/>
      <c r="T56" s="2"/>
      <c r="W56" s="2"/>
    </row>
  </sheetData>
  <mergeCells count="10">
    <mergeCell ref="S2:T2"/>
    <mergeCell ref="V2:W2"/>
    <mergeCell ref="Y2:Z2"/>
    <mergeCell ref="AB2:AC2"/>
    <mergeCell ref="A2:B2"/>
    <mergeCell ref="D2:E2"/>
    <mergeCell ref="G2:H2"/>
    <mergeCell ref="J2:K2"/>
    <mergeCell ref="M2:N2"/>
    <mergeCell ref="P2:Q2"/>
  </mergeCells>
  <pageMargins left="0.7" right="0.7" top="0.78740157499999996" bottom="0.78740157499999996" header="0.3" footer="0.3"/>
  <pageSetup paperSize="9" orientation="portrait" r:id="rId1"/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E7"/>
  <sheetViews>
    <sheetView workbookViewId="0">
      <selection activeCell="A37" sqref="A37"/>
    </sheetView>
  </sheetViews>
  <sheetFormatPr baseColWidth="10" defaultRowHeight="14.4" x14ac:dyDescent="0.3"/>
  <cols>
    <col min="2" max="2" width="1.109375" customWidth="1"/>
    <col min="4" max="4" width="3.44140625" customWidth="1"/>
  </cols>
  <sheetData>
    <row r="1" spans="1:5" ht="14.4" customHeight="1" x14ac:dyDescent="0.3">
      <c r="A1" s="4" t="str">
        <f>INDEX(StdBS[StdBS],5)</f>
        <v>Gleiten, Rollen, Fahren</v>
      </c>
    </row>
    <row r="2" spans="1:5" ht="14.4" customHeight="1" x14ac:dyDescent="0.3">
      <c r="A2" s="20" t="str">
        <f>INDEX(StdGeschlecht[StdGeschlecht],1)</f>
        <v>Knaben</v>
      </c>
      <c r="B2" s="21"/>
      <c r="C2" s="20" t="str">
        <f>INDEX(StdGeschlecht[StdGeschlecht],2)</f>
        <v>Mädchen</v>
      </c>
      <c r="D2" s="21"/>
      <c r="E2" t="s">
        <v>88</v>
      </c>
    </row>
    <row r="3" spans="1:5" ht="14.4" customHeight="1" x14ac:dyDescent="0.3">
      <c r="A3" s="156" t="s">
        <v>25</v>
      </c>
      <c r="C3" s="156" t="s">
        <v>25</v>
      </c>
      <c r="E3" t="str">
        <f>"Nicht "&amp;LOWER(E2)</f>
        <v>Nicht erfüllt</v>
      </c>
    </row>
    <row r="4" spans="1:5" ht="14.4" customHeight="1" x14ac:dyDescent="0.3">
      <c r="A4" s="157" t="str">
        <f>$E$2</f>
        <v>Erfüllt</v>
      </c>
      <c r="C4" s="157" t="str">
        <f>$E$2</f>
        <v>Erfüllt</v>
      </c>
      <c r="E4" t="str">
        <f>Stammdaten!$AX$19</f>
        <v>Dispensiert</v>
      </c>
    </row>
    <row r="5" spans="1:5" ht="14.4" customHeight="1" x14ac:dyDescent="0.3">
      <c r="A5" s="157" t="s">
        <v>237</v>
      </c>
      <c r="C5" s="157" t="s">
        <v>237</v>
      </c>
    </row>
    <row r="6" spans="1:5" ht="14.4" customHeight="1" x14ac:dyDescent="0.3">
      <c r="A6" s="157" t="s">
        <v>124</v>
      </c>
      <c r="C6" s="157" t="s">
        <v>124</v>
      </c>
    </row>
    <row r="7" spans="1:5" x14ac:dyDescent="0.3">
      <c r="A7" s="172"/>
      <c r="C7" s="172"/>
    </row>
  </sheetData>
  <dataValidations count="2">
    <dataValidation type="list" allowBlank="1" showInputMessage="1" showErrorMessage="1" sqref="C4:C6">
      <formula1>$E$2:$E$4</formula1>
    </dataValidation>
    <dataValidation type="list" allowBlank="1" showInputMessage="1" showErrorMessage="1" sqref="A4:A6">
      <formula1>$E$2:$E$4</formula1>
    </dataValidation>
  </dataValidations>
  <pageMargins left="0.7" right="0.7" top="0.78740157499999996" bottom="0.78740157499999996" header="0.3" footer="0.3"/>
  <tableParts count="2">
    <tablePart r:id="rId1"/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C9"/>
  <sheetViews>
    <sheetView workbookViewId="0">
      <selection activeCell="A37" sqref="A37"/>
    </sheetView>
  </sheetViews>
  <sheetFormatPr baseColWidth="10" defaultRowHeight="14.4" x14ac:dyDescent="0.3"/>
  <cols>
    <col min="3" max="3" width="1.109375" customWidth="1"/>
    <col min="6" max="6" width="3.44140625" customWidth="1"/>
    <col min="7" max="7" width="11.5546875" customWidth="1"/>
    <col min="9" max="10" width="11.5546875" customWidth="1"/>
    <col min="12" max="13" width="11.5546875" customWidth="1"/>
    <col min="15" max="15" width="11.5546875" customWidth="1"/>
    <col min="18" max="18" width="11.5546875" customWidth="1"/>
    <col min="21" max="22" width="11.5546875" customWidth="1"/>
    <col min="24" max="24" width="11.5546875" customWidth="1"/>
    <col min="27" max="27" width="11.5546875" customWidth="1"/>
  </cols>
  <sheetData>
    <row r="1" spans="1:29" s="5" customFormat="1" ht="14.4" customHeight="1" x14ac:dyDescent="0.3">
      <c r="A1" s="4" t="str">
        <f>INDEX(StdDisziplinen[StdDisziplin],26)</f>
        <v>Schwimmen</v>
      </c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s="5" customFormat="1" ht="14.4" customHeight="1" x14ac:dyDescent="0.3">
      <c r="A2" s="584" t="str">
        <f>INDEX(StdGeschlecht[StdGeschlecht],1)</f>
        <v>Knaben</v>
      </c>
      <c r="B2" s="584"/>
      <c r="C2" s="9"/>
      <c r="D2" s="584" t="str">
        <f>INDEX(StdGeschlecht[StdGeschlecht],2)</f>
        <v>Mädchen</v>
      </c>
      <c r="E2" s="584"/>
      <c r="F2"/>
      <c r="G2" t="s">
        <v>88</v>
      </c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customHeight="1" x14ac:dyDescent="0.3">
      <c r="A3" s="155" t="s">
        <v>22</v>
      </c>
      <c r="B3" s="155" t="s">
        <v>25</v>
      </c>
      <c r="D3" s="155" t="s">
        <v>22</v>
      </c>
      <c r="E3" s="155" t="s">
        <v>25</v>
      </c>
      <c r="G3" t="s">
        <v>97</v>
      </c>
    </row>
    <row r="4" spans="1:29" ht="14.4" customHeight="1" x14ac:dyDescent="0.3">
      <c r="A4" s="158">
        <v>211</v>
      </c>
      <c r="B4" s="155" t="s">
        <v>97</v>
      </c>
      <c r="D4" s="158">
        <v>211</v>
      </c>
      <c r="E4" s="155" t="s">
        <v>97</v>
      </c>
    </row>
    <row r="5" spans="1:29" ht="14.4" customHeight="1" x14ac:dyDescent="0.3">
      <c r="A5" s="158">
        <v>210</v>
      </c>
      <c r="B5" s="155" t="s">
        <v>88</v>
      </c>
      <c r="D5" s="158">
        <v>210</v>
      </c>
      <c r="E5" s="155" t="s">
        <v>88</v>
      </c>
    </row>
    <row r="6" spans="1:29" ht="14.4" customHeight="1" x14ac:dyDescent="0.3">
      <c r="A6" s="173"/>
      <c r="B6" s="155"/>
      <c r="D6" s="174"/>
      <c r="E6" s="155"/>
    </row>
    <row r="7" spans="1:29" x14ac:dyDescent="0.3">
      <c r="B7" s="155"/>
    </row>
    <row r="8" spans="1:29" x14ac:dyDescent="0.3">
      <c r="D8" s="74"/>
    </row>
    <row r="9" spans="1:29" x14ac:dyDescent="0.3">
      <c r="A9" s="74"/>
    </row>
  </sheetData>
  <mergeCells count="2">
    <mergeCell ref="A2:B2"/>
    <mergeCell ref="D2:E2"/>
  </mergeCells>
  <dataValidations count="1">
    <dataValidation type="list" allowBlank="1" showInputMessage="1" showErrorMessage="1" sqref="E4:E8 B4:B5 B8">
      <formula1>$G$2:$G$3</formula1>
    </dataValidation>
  </dataValidations>
  <pageMargins left="0.7" right="0.7" top="0.78740157499999996" bottom="0.78740157499999996" header="0.3" footer="0.3"/>
  <pageSetup paperSize="9" orientation="portrait" r:id="rId1"/>
  <tableParts count="2">
    <tablePart r:id="rId2"/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I55"/>
  <sheetViews>
    <sheetView zoomScale="60" zoomScaleNormal="60" workbookViewId="0">
      <selection activeCell="A37" sqref="A37"/>
    </sheetView>
  </sheetViews>
  <sheetFormatPr baseColWidth="10" defaultRowHeight="14.4" x14ac:dyDescent="0.3"/>
  <cols>
    <col min="2" max="2" width="12.33203125" bestFit="1" customWidth="1"/>
    <col min="3" max="3" width="1.109375" customWidth="1"/>
    <col min="5" max="5" width="12.33203125" bestFit="1" customWidth="1"/>
    <col min="6" max="6" width="2.6640625" customWidth="1"/>
    <col min="7" max="7" width="11.6640625" customWidth="1"/>
    <col min="8" max="8" width="12.33203125" bestFit="1" customWidth="1"/>
    <col min="9" max="9" width="1.109375" customWidth="1"/>
    <col min="10" max="10" width="11.6640625" customWidth="1"/>
    <col min="11" max="11" width="12.33203125" bestFit="1" customWidth="1"/>
    <col min="12" max="12" width="2.6640625" customWidth="1"/>
    <col min="13" max="13" width="11.6640625" customWidth="1"/>
    <col min="15" max="15" width="1.109375" customWidth="1"/>
    <col min="18" max="18" width="2.6640625" customWidth="1"/>
    <col min="19" max="19" width="11.6640625" customWidth="1"/>
    <col min="21" max="21" width="1.109375" customWidth="1"/>
    <col min="24" max="24" width="3.44140625" customWidth="1"/>
    <col min="25" max="35" width="11.5546875" customWidth="1"/>
  </cols>
  <sheetData>
    <row r="1" spans="1:35" s="5" customFormat="1" x14ac:dyDescent="0.3">
      <c r="A1" s="4" t="str">
        <f>INDEX(StdDisziplinen[Fähigkeit],27)</f>
        <v>Beweglichkeit</v>
      </c>
      <c r="G1" s="4" t="str">
        <f>INDEX(StdDisziplinen[Fähigkeit],28)</f>
        <v>Rumpfkraft</v>
      </c>
      <c r="M1" s="4" t="str">
        <f>INDEX(StdDisziplinen[StdDisziplin],29)</f>
        <v>Konditionsparcours</v>
      </c>
      <c r="P1" s="75" t="s">
        <v>127</v>
      </c>
      <c r="S1" s="4" t="str">
        <f>INDEX(StdDisziplinen[StdDisziplin],29)</f>
        <v>Konditionsparcours</v>
      </c>
      <c r="V1" s="75" t="s">
        <v>128</v>
      </c>
      <c r="X1"/>
      <c r="Y1"/>
      <c r="Z1"/>
      <c r="AA1"/>
      <c r="AB1"/>
      <c r="AC1"/>
      <c r="AD1"/>
      <c r="AE1"/>
      <c r="AF1"/>
      <c r="AG1"/>
      <c r="AH1"/>
      <c r="AI1"/>
    </row>
    <row r="2" spans="1:35" s="5" customFormat="1" x14ac:dyDescent="0.3">
      <c r="A2" s="584" t="str">
        <f>INDEX(StdGeschlecht[StdGeschlecht],1)</f>
        <v>Knaben</v>
      </c>
      <c r="B2" s="584"/>
      <c r="C2" s="9"/>
      <c r="D2" s="584" t="str">
        <f>INDEX(StdGeschlecht[StdGeschlecht],2)</f>
        <v>Mädchen</v>
      </c>
      <c r="E2" s="584"/>
      <c r="G2" s="584" t="str">
        <f>INDEX(StdGeschlecht[StdGeschlecht],1)</f>
        <v>Knaben</v>
      </c>
      <c r="H2" s="584"/>
      <c r="I2" s="9"/>
      <c r="J2" s="584" t="str">
        <f>INDEX(StdGeschlecht[StdGeschlecht],2)</f>
        <v>Mädchen</v>
      </c>
      <c r="K2" s="584"/>
      <c r="M2" s="584" t="str">
        <f>INDEX(StdSkala[StdSkalaText],3)</f>
        <v>Knaben K1</v>
      </c>
      <c r="N2" s="584"/>
      <c r="P2" s="584" t="str">
        <f>INDEX(StdSkala[StdSkalaText],1)</f>
        <v>Mädchen M1</v>
      </c>
      <c r="Q2" s="584"/>
      <c r="S2" s="584" t="str">
        <f>INDEX(StdSkala[StdSkalaText],4)</f>
        <v>Knaben K2</v>
      </c>
      <c r="T2" s="584"/>
      <c r="V2" s="584" t="str">
        <f>INDEX(StdSkala[StdSkalaText],2)</f>
        <v>Mädchen M2</v>
      </c>
      <c r="W2" s="584"/>
      <c r="X2"/>
      <c r="Y2" t="s">
        <v>98</v>
      </c>
      <c r="Z2"/>
      <c r="AA2"/>
      <c r="AB2"/>
      <c r="AC2"/>
      <c r="AD2"/>
      <c r="AE2"/>
      <c r="AF2"/>
      <c r="AG2"/>
      <c r="AH2"/>
      <c r="AI2"/>
    </row>
    <row r="3" spans="1:35" x14ac:dyDescent="0.3">
      <c r="A3" t="s">
        <v>22</v>
      </c>
      <c r="B3" t="s">
        <v>7</v>
      </c>
      <c r="D3" t="s">
        <v>22</v>
      </c>
      <c r="E3" t="s">
        <v>7</v>
      </c>
      <c r="G3" t="s">
        <v>22</v>
      </c>
      <c r="H3" t="s">
        <v>7</v>
      </c>
      <c r="J3" t="s">
        <v>22</v>
      </c>
      <c r="K3" t="s">
        <v>7</v>
      </c>
      <c r="M3" s="15" t="s">
        <v>22</v>
      </c>
      <c r="N3" s="15" t="s">
        <v>7</v>
      </c>
      <c r="P3" s="17" t="s">
        <v>22</v>
      </c>
      <c r="Q3" s="1" t="s">
        <v>7</v>
      </c>
      <c r="S3" s="15" t="s">
        <v>22</v>
      </c>
      <c r="T3" s="15" t="s">
        <v>7</v>
      </c>
      <c r="V3" s="17" t="s">
        <v>22</v>
      </c>
      <c r="W3" s="1" t="s">
        <v>7</v>
      </c>
      <c r="Y3" t="s">
        <v>99</v>
      </c>
    </row>
    <row r="4" spans="1:35" x14ac:dyDescent="0.3">
      <c r="A4" s="74">
        <v>-1</v>
      </c>
      <c r="B4" s="19" t="s">
        <v>101</v>
      </c>
      <c r="D4" s="74">
        <v>0</v>
      </c>
      <c r="E4" s="19" t="s">
        <v>101</v>
      </c>
      <c r="G4" s="74">
        <v>89</v>
      </c>
      <c r="H4" s="19" t="s">
        <v>101</v>
      </c>
      <c r="J4" s="74">
        <v>69</v>
      </c>
      <c r="K4" s="19" t="s">
        <v>101</v>
      </c>
      <c r="M4" s="57">
        <v>55</v>
      </c>
      <c r="N4" s="8">
        <v>1</v>
      </c>
      <c r="P4" s="14">
        <v>40</v>
      </c>
      <c r="Q4" s="59">
        <v>1</v>
      </c>
      <c r="S4" s="57">
        <v>55</v>
      </c>
      <c r="T4" s="8">
        <v>1</v>
      </c>
      <c r="V4" s="14">
        <v>40</v>
      </c>
      <c r="W4" s="59">
        <v>1</v>
      </c>
      <c r="Y4" t="s">
        <v>100</v>
      </c>
    </row>
    <row r="5" spans="1:35" x14ac:dyDescent="0.3">
      <c r="A5" s="74">
        <v>0</v>
      </c>
      <c r="B5" s="19" t="s">
        <v>100</v>
      </c>
      <c r="D5" s="74">
        <v>1</v>
      </c>
      <c r="E5" s="19" t="s">
        <v>100</v>
      </c>
      <c r="G5" s="74">
        <v>90</v>
      </c>
      <c r="H5" s="19" t="s">
        <v>100</v>
      </c>
      <c r="J5" s="74">
        <v>70</v>
      </c>
      <c r="K5" s="19" t="s">
        <v>100</v>
      </c>
      <c r="M5" s="57">
        <v>57</v>
      </c>
      <c r="N5" s="58">
        <v>1.1000000000000001</v>
      </c>
      <c r="P5" s="14">
        <v>42</v>
      </c>
      <c r="Q5" s="59">
        <v>1.1000000000000001</v>
      </c>
      <c r="S5" s="57">
        <v>57</v>
      </c>
      <c r="T5" s="58">
        <v>1.1000000000000001</v>
      </c>
      <c r="V5" s="14">
        <v>42</v>
      </c>
      <c r="W5" s="59">
        <v>1.1000000000000001</v>
      </c>
      <c r="Y5" t="s">
        <v>101</v>
      </c>
    </row>
    <row r="6" spans="1:35" x14ac:dyDescent="0.3">
      <c r="A6" s="74">
        <v>2</v>
      </c>
      <c r="B6" s="19" t="s">
        <v>100</v>
      </c>
      <c r="D6" s="74">
        <v>2</v>
      </c>
      <c r="E6" s="19" t="s">
        <v>100</v>
      </c>
      <c r="G6" s="74">
        <v>91</v>
      </c>
      <c r="H6" s="19" t="s">
        <v>100</v>
      </c>
      <c r="J6" s="74">
        <v>71</v>
      </c>
      <c r="K6" s="19" t="s">
        <v>100</v>
      </c>
      <c r="M6" s="57">
        <v>59</v>
      </c>
      <c r="N6" s="8">
        <v>1.2</v>
      </c>
      <c r="P6" s="14">
        <v>44</v>
      </c>
      <c r="Q6" s="2">
        <v>1.2</v>
      </c>
      <c r="S6" s="57">
        <v>59</v>
      </c>
      <c r="T6" s="8">
        <v>1.2</v>
      </c>
      <c r="V6" s="14">
        <v>44</v>
      </c>
      <c r="W6" s="2">
        <v>1.2</v>
      </c>
    </row>
    <row r="7" spans="1:35" x14ac:dyDescent="0.3">
      <c r="A7" s="74">
        <v>3</v>
      </c>
      <c r="B7" s="19" t="s">
        <v>100</v>
      </c>
      <c r="D7" s="74">
        <v>3</v>
      </c>
      <c r="E7" s="19" t="s">
        <v>100</v>
      </c>
      <c r="G7" s="74">
        <v>92</v>
      </c>
      <c r="H7" s="19" t="s">
        <v>100</v>
      </c>
      <c r="J7" s="74">
        <v>72</v>
      </c>
      <c r="K7" s="19" t="s">
        <v>100</v>
      </c>
      <c r="M7" s="57">
        <v>61</v>
      </c>
      <c r="N7" s="58">
        <v>1.3</v>
      </c>
      <c r="P7" s="14">
        <v>46</v>
      </c>
      <c r="Q7" s="59">
        <v>1.3</v>
      </c>
      <c r="S7" s="57">
        <v>61</v>
      </c>
      <c r="T7" s="58">
        <v>1.3</v>
      </c>
      <c r="V7" s="14">
        <v>46</v>
      </c>
      <c r="W7" s="59">
        <v>1.3</v>
      </c>
    </row>
    <row r="8" spans="1:35" x14ac:dyDescent="0.3">
      <c r="A8" s="74">
        <v>4</v>
      </c>
      <c r="B8" s="19" t="s">
        <v>100</v>
      </c>
      <c r="D8" s="74">
        <v>4</v>
      </c>
      <c r="E8" s="19" t="s">
        <v>100</v>
      </c>
      <c r="G8" s="74">
        <v>93</v>
      </c>
      <c r="H8" s="19" t="s">
        <v>100</v>
      </c>
      <c r="J8" s="74">
        <v>73</v>
      </c>
      <c r="K8" s="19" t="s">
        <v>100</v>
      </c>
      <c r="M8" s="57">
        <v>63</v>
      </c>
      <c r="N8" s="8">
        <v>1.4</v>
      </c>
      <c r="P8" s="14">
        <v>48</v>
      </c>
      <c r="Q8" s="59">
        <v>1.4</v>
      </c>
      <c r="S8" s="57">
        <v>63</v>
      </c>
      <c r="T8" s="8">
        <v>1.4</v>
      </c>
      <c r="V8" s="14">
        <v>48</v>
      </c>
      <c r="W8" s="59">
        <v>1.4</v>
      </c>
    </row>
    <row r="9" spans="1:35" x14ac:dyDescent="0.3">
      <c r="A9" s="74">
        <v>5</v>
      </c>
      <c r="B9" s="19" t="s">
        <v>100</v>
      </c>
      <c r="D9" s="74">
        <v>5</v>
      </c>
      <c r="E9" s="19" t="s">
        <v>100</v>
      </c>
      <c r="G9" s="74">
        <v>94</v>
      </c>
      <c r="H9" s="19" t="s">
        <v>100</v>
      </c>
      <c r="J9" s="74">
        <v>74</v>
      </c>
      <c r="K9" s="19" t="s">
        <v>100</v>
      </c>
      <c r="M9" s="57">
        <v>65</v>
      </c>
      <c r="N9" s="58">
        <v>1.5</v>
      </c>
      <c r="P9" s="14">
        <v>50</v>
      </c>
      <c r="Q9" s="2">
        <v>1.5</v>
      </c>
      <c r="S9" s="57">
        <v>65</v>
      </c>
      <c r="T9" s="58">
        <v>1.5</v>
      </c>
      <c r="V9" s="14">
        <v>50</v>
      </c>
      <c r="W9" s="2">
        <v>1.5</v>
      </c>
    </row>
    <row r="10" spans="1:35" x14ac:dyDescent="0.3">
      <c r="A10" s="74">
        <v>6</v>
      </c>
      <c r="B10" s="19" t="s">
        <v>99</v>
      </c>
      <c r="D10" s="74">
        <v>6</v>
      </c>
      <c r="E10" s="19" t="s">
        <v>100</v>
      </c>
      <c r="G10" s="74">
        <v>95</v>
      </c>
      <c r="H10" s="19" t="s">
        <v>100</v>
      </c>
      <c r="J10" s="74">
        <v>75</v>
      </c>
      <c r="K10" s="19" t="s">
        <v>100</v>
      </c>
      <c r="M10" s="57">
        <v>67</v>
      </c>
      <c r="N10" s="8">
        <v>1.6</v>
      </c>
      <c r="P10" s="14">
        <v>52</v>
      </c>
      <c r="Q10" s="59">
        <v>1.6</v>
      </c>
      <c r="S10" s="57">
        <v>67</v>
      </c>
      <c r="T10" s="8">
        <v>1.6</v>
      </c>
      <c r="V10" s="14">
        <v>52</v>
      </c>
      <c r="W10" s="59">
        <v>1.6</v>
      </c>
    </row>
    <row r="11" spans="1:35" x14ac:dyDescent="0.3">
      <c r="A11" s="74">
        <v>7</v>
      </c>
      <c r="B11" s="19" t="s">
        <v>99</v>
      </c>
      <c r="D11" s="74">
        <v>7</v>
      </c>
      <c r="E11" s="19" t="s">
        <v>100</v>
      </c>
      <c r="G11" s="74">
        <v>96</v>
      </c>
      <c r="H11" s="19" t="s">
        <v>100</v>
      </c>
      <c r="J11" s="74">
        <v>76</v>
      </c>
      <c r="K11" s="19" t="s">
        <v>100</v>
      </c>
      <c r="M11" s="57">
        <v>69</v>
      </c>
      <c r="N11" s="58">
        <v>1.7</v>
      </c>
      <c r="P11" s="14">
        <v>54</v>
      </c>
      <c r="Q11" s="59">
        <v>1.7</v>
      </c>
      <c r="S11" s="57">
        <v>69</v>
      </c>
      <c r="T11" s="58">
        <v>1.7</v>
      </c>
      <c r="V11" s="14">
        <v>54</v>
      </c>
      <c r="W11" s="59">
        <v>1.7</v>
      </c>
    </row>
    <row r="12" spans="1:35" x14ac:dyDescent="0.3">
      <c r="A12" s="74">
        <v>8</v>
      </c>
      <c r="B12" s="19" t="s">
        <v>99</v>
      </c>
      <c r="D12" s="74">
        <v>8</v>
      </c>
      <c r="E12" s="19" t="s">
        <v>100</v>
      </c>
      <c r="G12" s="74">
        <v>97</v>
      </c>
      <c r="H12" s="19" t="s">
        <v>100</v>
      </c>
      <c r="J12" s="74">
        <v>77</v>
      </c>
      <c r="K12" s="19" t="s">
        <v>100</v>
      </c>
      <c r="M12" s="57">
        <v>71</v>
      </c>
      <c r="N12" s="8">
        <v>1.8</v>
      </c>
      <c r="P12" s="14">
        <v>56</v>
      </c>
      <c r="Q12" s="2">
        <v>1.8</v>
      </c>
      <c r="S12" s="57">
        <v>71</v>
      </c>
      <c r="T12" s="8">
        <v>1.8</v>
      </c>
      <c r="V12" s="14">
        <v>56</v>
      </c>
      <c r="W12" s="2">
        <v>1.8</v>
      </c>
    </row>
    <row r="13" spans="1:35" x14ac:dyDescent="0.3">
      <c r="A13" s="74">
        <v>9</v>
      </c>
      <c r="B13" s="19" t="s">
        <v>99</v>
      </c>
      <c r="D13" s="74">
        <v>9</v>
      </c>
      <c r="E13" s="19" t="s">
        <v>100</v>
      </c>
      <c r="G13" s="74">
        <v>98</v>
      </c>
      <c r="H13" s="19" t="s">
        <v>100</v>
      </c>
      <c r="J13" s="74">
        <v>78</v>
      </c>
      <c r="K13" s="19" t="s">
        <v>100</v>
      </c>
      <c r="M13" s="57">
        <v>73</v>
      </c>
      <c r="N13" s="58">
        <v>1.9</v>
      </c>
      <c r="P13" s="14">
        <v>58</v>
      </c>
      <c r="Q13" s="59">
        <v>1.9</v>
      </c>
      <c r="S13" s="57">
        <v>73</v>
      </c>
      <c r="T13" s="58">
        <v>1.9</v>
      </c>
      <c r="V13" s="14">
        <v>58</v>
      </c>
      <c r="W13" s="59">
        <v>1.9</v>
      </c>
    </row>
    <row r="14" spans="1:35" x14ac:dyDescent="0.3">
      <c r="A14" s="74">
        <v>10</v>
      </c>
      <c r="B14" s="19" t="s">
        <v>99</v>
      </c>
      <c r="D14" s="74">
        <v>10</v>
      </c>
      <c r="E14" s="19" t="s">
        <v>100</v>
      </c>
      <c r="G14" s="74">
        <v>99</v>
      </c>
      <c r="H14" s="19" t="s">
        <v>100</v>
      </c>
      <c r="J14" s="74">
        <v>79</v>
      </c>
      <c r="K14" s="19" t="s">
        <v>100</v>
      </c>
      <c r="M14" s="57">
        <v>75</v>
      </c>
      <c r="N14" s="8">
        <v>2</v>
      </c>
      <c r="P14" s="14">
        <v>60</v>
      </c>
      <c r="Q14" s="59">
        <v>2</v>
      </c>
      <c r="S14" s="57">
        <v>75</v>
      </c>
      <c r="T14" s="8">
        <v>2</v>
      </c>
      <c r="V14" s="14">
        <v>60</v>
      </c>
      <c r="W14" s="59">
        <v>2</v>
      </c>
    </row>
    <row r="15" spans="1:35" x14ac:dyDescent="0.3">
      <c r="A15" s="74">
        <v>11</v>
      </c>
      <c r="B15" s="19" t="s">
        <v>99</v>
      </c>
      <c r="D15" s="74">
        <v>11</v>
      </c>
      <c r="E15" s="19" t="str">
        <f t="shared" ref="E15:E24" si="0">$Y$3</f>
        <v>Gut</v>
      </c>
      <c r="G15" s="74">
        <v>100</v>
      </c>
      <c r="H15" s="19" t="s">
        <v>99</v>
      </c>
      <c r="J15" s="74">
        <v>80</v>
      </c>
      <c r="K15" s="19" t="s">
        <v>100</v>
      </c>
      <c r="M15" s="57">
        <v>77</v>
      </c>
      <c r="N15" s="58">
        <v>2.1</v>
      </c>
      <c r="P15" s="14">
        <v>62</v>
      </c>
      <c r="Q15" s="2">
        <v>2.1</v>
      </c>
      <c r="S15" s="57">
        <v>77</v>
      </c>
      <c r="T15" s="58">
        <v>2.1</v>
      </c>
      <c r="V15" s="14">
        <v>62</v>
      </c>
      <c r="W15" s="2">
        <v>2.1</v>
      </c>
    </row>
    <row r="16" spans="1:35" x14ac:dyDescent="0.3">
      <c r="A16" s="74">
        <v>12</v>
      </c>
      <c r="B16" s="19" t="s">
        <v>99</v>
      </c>
      <c r="D16" s="74">
        <v>12</v>
      </c>
      <c r="E16" s="19" t="str">
        <f t="shared" si="0"/>
        <v>Gut</v>
      </c>
      <c r="G16" s="74">
        <v>101</v>
      </c>
      <c r="H16" s="19" t="s">
        <v>99</v>
      </c>
      <c r="J16" s="74">
        <v>81</v>
      </c>
      <c r="K16" s="19" t="s">
        <v>100</v>
      </c>
      <c r="M16" s="57">
        <v>79</v>
      </c>
      <c r="N16" s="8">
        <v>2.2000000000000002</v>
      </c>
      <c r="P16" s="14">
        <v>64</v>
      </c>
      <c r="Q16" s="59">
        <v>2.2000000000000002</v>
      </c>
      <c r="S16" s="57">
        <v>79</v>
      </c>
      <c r="T16" s="8">
        <v>2.2000000000000002</v>
      </c>
      <c r="V16" s="14">
        <v>64</v>
      </c>
      <c r="W16" s="59">
        <v>2.2000000000000002</v>
      </c>
    </row>
    <row r="17" spans="1:23" x14ac:dyDescent="0.3">
      <c r="A17" s="74">
        <v>13</v>
      </c>
      <c r="B17" s="19" t="s">
        <v>99</v>
      </c>
      <c r="D17" s="74">
        <v>13</v>
      </c>
      <c r="E17" s="19" t="str">
        <f t="shared" si="0"/>
        <v>Gut</v>
      </c>
      <c r="G17" s="74">
        <v>102</v>
      </c>
      <c r="H17" s="19" t="s">
        <v>99</v>
      </c>
      <c r="J17" s="74">
        <v>82</v>
      </c>
      <c r="K17" s="19" t="s">
        <v>100</v>
      </c>
      <c r="M17" s="57">
        <v>81</v>
      </c>
      <c r="N17" s="58">
        <v>2.2999999999999998</v>
      </c>
      <c r="P17" s="14">
        <v>66</v>
      </c>
      <c r="Q17" s="59">
        <v>2.2999999999999998</v>
      </c>
      <c r="S17" s="57">
        <v>81</v>
      </c>
      <c r="T17" s="58">
        <v>2.2999999999999998</v>
      </c>
      <c r="V17" s="14">
        <v>66</v>
      </c>
      <c r="W17" s="59">
        <v>2.2999999999999998</v>
      </c>
    </row>
    <row r="18" spans="1:23" x14ac:dyDescent="0.3">
      <c r="A18" s="74">
        <v>14</v>
      </c>
      <c r="B18" s="19" t="s">
        <v>99</v>
      </c>
      <c r="D18" s="74">
        <v>14</v>
      </c>
      <c r="E18" s="19" t="str">
        <f t="shared" si="0"/>
        <v>Gut</v>
      </c>
      <c r="G18" s="74">
        <v>103</v>
      </c>
      <c r="H18" s="19" t="s">
        <v>99</v>
      </c>
      <c r="J18" s="74">
        <v>83</v>
      </c>
      <c r="K18" s="19" t="s">
        <v>100</v>
      </c>
      <c r="M18" s="57">
        <v>83</v>
      </c>
      <c r="N18" s="8">
        <v>2.4</v>
      </c>
      <c r="P18" s="14">
        <v>68</v>
      </c>
      <c r="Q18" s="2">
        <v>2.4</v>
      </c>
      <c r="S18" s="57">
        <v>83</v>
      </c>
      <c r="T18" s="8">
        <v>2.4</v>
      </c>
      <c r="V18" s="14">
        <v>68</v>
      </c>
      <c r="W18" s="2">
        <v>2.4</v>
      </c>
    </row>
    <row r="19" spans="1:23" x14ac:dyDescent="0.3">
      <c r="A19" s="74">
        <v>15</v>
      </c>
      <c r="B19" s="19" t="s">
        <v>99</v>
      </c>
      <c r="D19" s="74">
        <v>15</v>
      </c>
      <c r="E19" s="19" t="str">
        <f t="shared" si="0"/>
        <v>Gut</v>
      </c>
      <c r="G19" s="74">
        <v>104</v>
      </c>
      <c r="H19" s="19" t="s">
        <v>99</v>
      </c>
      <c r="J19" s="74">
        <v>84</v>
      </c>
      <c r="K19" s="19" t="s">
        <v>100</v>
      </c>
      <c r="M19" s="57">
        <v>85</v>
      </c>
      <c r="N19" s="58">
        <v>2.5</v>
      </c>
      <c r="P19" s="14">
        <v>70</v>
      </c>
      <c r="Q19" s="59">
        <v>2.5</v>
      </c>
      <c r="S19" s="57">
        <v>85</v>
      </c>
      <c r="T19" s="58">
        <v>2.5</v>
      </c>
      <c r="V19" s="14">
        <v>70</v>
      </c>
      <c r="W19" s="59">
        <v>2.5</v>
      </c>
    </row>
    <row r="20" spans="1:23" x14ac:dyDescent="0.3">
      <c r="A20" s="74">
        <v>16</v>
      </c>
      <c r="B20" s="19" t="s">
        <v>99</v>
      </c>
      <c r="D20" s="74">
        <v>16</v>
      </c>
      <c r="E20" s="19" t="str">
        <f t="shared" si="0"/>
        <v>Gut</v>
      </c>
      <c r="G20" s="74">
        <v>105</v>
      </c>
      <c r="H20" s="19" t="s">
        <v>99</v>
      </c>
      <c r="J20" s="74">
        <v>85</v>
      </c>
      <c r="K20" s="19" t="s">
        <v>100</v>
      </c>
      <c r="M20" s="57">
        <v>87</v>
      </c>
      <c r="N20" s="8">
        <v>2.6</v>
      </c>
      <c r="P20" s="14">
        <v>72</v>
      </c>
      <c r="Q20" s="59">
        <v>2.6</v>
      </c>
      <c r="S20" s="57">
        <v>87</v>
      </c>
      <c r="T20" s="8">
        <v>2.6</v>
      </c>
      <c r="V20" s="14">
        <v>72</v>
      </c>
      <c r="W20" s="59">
        <v>2.6</v>
      </c>
    </row>
    <row r="21" spans="1:23" x14ac:dyDescent="0.3">
      <c r="A21" s="74">
        <v>17</v>
      </c>
      <c r="B21" s="19" t="s">
        <v>98</v>
      </c>
      <c r="D21" s="74">
        <v>17</v>
      </c>
      <c r="E21" s="19" t="str">
        <f t="shared" si="0"/>
        <v>Gut</v>
      </c>
      <c r="G21" s="74">
        <v>106</v>
      </c>
      <c r="H21" s="19" t="s">
        <v>99</v>
      </c>
      <c r="J21" s="74">
        <v>86</v>
      </c>
      <c r="K21" s="19" t="s">
        <v>100</v>
      </c>
      <c r="M21" s="57">
        <v>89</v>
      </c>
      <c r="N21" s="58">
        <v>2.7</v>
      </c>
      <c r="P21" s="14">
        <v>74</v>
      </c>
      <c r="Q21" s="2">
        <v>2.7</v>
      </c>
      <c r="S21" s="57">
        <v>89</v>
      </c>
      <c r="T21" s="58">
        <v>2.7</v>
      </c>
      <c r="V21" s="14">
        <v>74</v>
      </c>
      <c r="W21" s="2">
        <v>2.7</v>
      </c>
    </row>
    <row r="22" spans="1:23" x14ac:dyDescent="0.3">
      <c r="A22" s="203"/>
      <c r="B22" s="19"/>
      <c r="D22" s="74">
        <v>18</v>
      </c>
      <c r="E22" s="19" t="str">
        <f t="shared" si="0"/>
        <v>Gut</v>
      </c>
      <c r="G22" s="74">
        <v>107</v>
      </c>
      <c r="H22" s="19" t="s">
        <v>99</v>
      </c>
      <c r="J22" s="74">
        <v>87</v>
      </c>
      <c r="K22" s="19" t="s">
        <v>100</v>
      </c>
      <c r="M22" s="57">
        <v>91</v>
      </c>
      <c r="N22" s="8">
        <v>2.8</v>
      </c>
      <c r="P22" s="14">
        <v>76</v>
      </c>
      <c r="Q22" s="59">
        <v>2.8</v>
      </c>
      <c r="S22" s="57">
        <v>91</v>
      </c>
      <c r="T22" s="8">
        <v>2.8</v>
      </c>
      <c r="V22" s="14">
        <v>76</v>
      </c>
      <c r="W22" s="59">
        <v>2.8</v>
      </c>
    </row>
    <row r="23" spans="1:23" x14ac:dyDescent="0.3">
      <c r="D23" s="74">
        <v>19</v>
      </c>
      <c r="E23" s="19" t="str">
        <f t="shared" si="0"/>
        <v>Gut</v>
      </c>
      <c r="G23" s="74">
        <v>108</v>
      </c>
      <c r="H23" s="19" t="s">
        <v>99</v>
      </c>
      <c r="J23" s="74">
        <v>88</v>
      </c>
      <c r="K23" s="19" t="s">
        <v>100</v>
      </c>
      <c r="M23" s="57">
        <v>93</v>
      </c>
      <c r="N23" s="58">
        <v>2.9</v>
      </c>
      <c r="P23" s="14">
        <v>78</v>
      </c>
      <c r="Q23" s="59">
        <v>2.9</v>
      </c>
      <c r="S23" s="57">
        <v>93</v>
      </c>
      <c r="T23" s="58">
        <v>2.9</v>
      </c>
      <c r="V23" s="14">
        <v>78</v>
      </c>
      <c r="W23" s="59">
        <v>2.9</v>
      </c>
    </row>
    <row r="24" spans="1:23" x14ac:dyDescent="0.3">
      <c r="A24" s="12"/>
      <c r="D24" s="74">
        <v>20</v>
      </c>
      <c r="E24" s="19" t="str">
        <f t="shared" si="0"/>
        <v>Gut</v>
      </c>
      <c r="G24" s="74">
        <v>109</v>
      </c>
      <c r="H24" s="19" t="s">
        <v>99</v>
      </c>
      <c r="J24" s="74">
        <v>89</v>
      </c>
      <c r="K24" s="19" t="s">
        <v>100</v>
      </c>
      <c r="M24" s="16">
        <v>95</v>
      </c>
      <c r="N24" s="8">
        <v>3</v>
      </c>
      <c r="P24" s="14">
        <v>80</v>
      </c>
      <c r="Q24" s="2">
        <v>3</v>
      </c>
      <c r="S24" s="16">
        <v>95</v>
      </c>
      <c r="T24" s="8">
        <v>3</v>
      </c>
      <c r="V24" s="14">
        <v>80</v>
      </c>
      <c r="W24" s="2">
        <v>3</v>
      </c>
    </row>
    <row r="25" spans="1:23" x14ac:dyDescent="0.3">
      <c r="A25" s="13"/>
      <c r="D25" s="74">
        <v>21</v>
      </c>
      <c r="E25" s="19" t="str">
        <f>$Y$2</f>
        <v>Sehr gut</v>
      </c>
      <c r="G25" s="74">
        <v>110</v>
      </c>
      <c r="H25" s="19" t="s">
        <v>99</v>
      </c>
      <c r="J25" s="74">
        <v>90</v>
      </c>
      <c r="K25" s="19" t="s">
        <v>99</v>
      </c>
      <c r="M25" s="16">
        <v>97</v>
      </c>
      <c r="N25" s="8">
        <v>3.1</v>
      </c>
      <c r="P25" s="14">
        <v>82</v>
      </c>
      <c r="Q25" s="2">
        <v>3.1</v>
      </c>
      <c r="S25" s="16">
        <v>97</v>
      </c>
      <c r="T25" s="8">
        <v>3.1</v>
      </c>
      <c r="V25" s="14">
        <v>82</v>
      </c>
      <c r="W25" s="2">
        <v>3.1</v>
      </c>
    </row>
    <row r="26" spans="1:23" x14ac:dyDescent="0.3">
      <c r="A26" s="11"/>
      <c r="D26" s="172"/>
      <c r="E26" s="19"/>
      <c r="G26" s="74">
        <v>111</v>
      </c>
      <c r="H26" s="19" t="s">
        <v>99</v>
      </c>
      <c r="J26" s="74">
        <v>91</v>
      </c>
      <c r="K26" s="19" t="s">
        <v>99</v>
      </c>
      <c r="M26" s="16">
        <v>99</v>
      </c>
      <c r="N26" s="8">
        <v>3.2</v>
      </c>
      <c r="P26" s="14">
        <v>84</v>
      </c>
      <c r="Q26" s="2">
        <v>3.2</v>
      </c>
      <c r="S26" s="16">
        <v>99</v>
      </c>
      <c r="T26" s="8">
        <v>3.2</v>
      </c>
      <c r="V26" s="14">
        <v>84</v>
      </c>
      <c r="W26" s="2">
        <v>3.2</v>
      </c>
    </row>
    <row r="27" spans="1:23" x14ac:dyDescent="0.3">
      <c r="G27" s="74">
        <v>112</v>
      </c>
      <c r="H27" s="19" t="s">
        <v>99</v>
      </c>
      <c r="J27" s="74">
        <v>92</v>
      </c>
      <c r="K27" s="19" t="s">
        <v>99</v>
      </c>
      <c r="M27" s="16">
        <v>101</v>
      </c>
      <c r="N27" s="8">
        <v>3.3</v>
      </c>
      <c r="P27" s="14">
        <v>86</v>
      </c>
      <c r="Q27" s="2">
        <v>3.3</v>
      </c>
      <c r="S27" s="16">
        <v>101</v>
      </c>
      <c r="T27" s="8">
        <v>3.3</v>
      </c>
      <c r="V27" s="14">
        <v>86</v>
      </c>
      <c r="W27" s="2">
        <v>3.3</v>
      </c>
    </row>
    <row r="28" spans="1:23" x14ac:dyDescent="0.3">
      <c r="G28" s="74">
        <v>113</v>
      </c>
      <c r="H28" s="19" t="s">
        <v>99</v>
      </c>
      <c r="J28" s="74">
        <v>93</v>
      </c>
      <c r="K28" s="19" t="s">
        <v>99</v>
      </c>
      <c r="M28" s="16">
        <v>103</v>
      </c>
      <c r="N28" s="8">
        <v>3.4</v>
      </c>
      <c r="P28" s="14">
        <v>88</v>
      </c>
      <c r="Q28" s="2">
        <v>3.4</v>
      </c>
      <c r="S28" s="16">
        <v>103</v>
      </c>
      <c r="T28" s="8">
        <v>3.4</v>
      </c>
      <c r="V28" s="14">
        <v>88</v>
      </c>
      <c r="W28" s="2">
        <v>3.4</v>
      </c>
    </row>
    <row r="29" spans="1:23" x14ac:dyDescent="0.3">
      <c r="G29" s="74">
        <v>114</v>
      </c>
      <c r="H29" s="19" t="s">
        <v>99</v>
      </c>
      <c r="J29" s="74">
        <v>94</v>
      </c>
      <c r="K29" s="19" t="s">
        <v>99</v>
      </c>
      <c r="M29" s="16">
        <v>105</v>
      </c>
      <c r="N29" s="8">
        <v>3.5</v>
      </c>
      <c r="P29" s="14">
        <v>90</v>
      </c>
      <c r="Q29" s="2">
        <v>3.5</v>
      </c>
      <c r="S29" s="16">
        <v>105</v>
      </c>
      <c r="T29" s="8">
        <v>3.5</v>
      </c>
      <c r="V29" s="14">
        <v>90</v>
      </c>
      <c r="W29" s="2">
        <v>3.5</v>
      </c>
    </row>
    <row r="30" spans="1:23" x14ac:dyDescent="0.3">
      <c r="G30" s="74">
        <v>115</v>
      </c>
      <c r="H30" s="19" t="s">
        <v>99</v>
      </c>
      <c r="J30" s="74">
        <v>95</v>
      </c>
      <c r="K30" s="19" t="s">
        <v>99</v>
      </c>
      <c r="M30" s="16">
        <v>107</v>
      </c>
      <c r="N30" s="8">
        <v>3.6</v>
      </c>
      <c r="P30" s="14">
        <v>92</v>
      </c>
      <c r="Q30" s="2">
        <v>3.6</v>
      </c>
      <c r="S30" s="16">
        <v>107</v>
      </c>
      <c r="T30" s="8">
        <v>3.6</v>
      </c>
      <c r="V30" s="14">
        <v>92</v>
      </c>
      <c r="W30" s="2">
        <v>3.6</v>
      </c>
    </row>
    <row r="31" spans="1:23" x14ac:dyDescent="0.3">
      <c r="G31" s="74">
        <v>116</v>
      </c>
      <c r="H31" s="19" t="s">
        <v>99</v>
      </c>
      <c r="J31" s="74">
        <v>96</v>
      </c>
      <c r="K31" s="19" t="s">
        <v>99</v>
      </c>
      <c r="M31" s="16">
        <v>109</v>
      </c>
      <c r="N31" s="8">
        <v>3.7</v>
      </c>
      <c r="P31" s="14">
        <v>94</v>
      </c>
      <c r="Q31" s="2">
        <v>3.7</v>
      </c>
      <c r="S31" s="16">
        <v>109</v>
      </c>
      <c r="T31" s="8">
        <v>3.7</v>
      </c>
      <c r="V31" s="14">
        <v>94</v>
      </c>
      <c r="W31" s="2">
        <v>3.7</v>
      </c>
    </row>
    <row r="32" spans="1:23" x14ac:dyDescent="0.3">
      <c r="G32" s="74">
        <v>117</v>
      </c>
      <c r="H32" s="19" t="s">
        <v>99</v>
      </c>
      <c r="J32" s="74">
        <v>97</v>
      </c>
      <c r="K32" s="19" t="s">
        <v>99</v>
      </c>
      <c r="M32" s="16">
        <v>111</v>
      </c>
      <c r="N32" s="8">
        <v>3.8</v>
      </c>
      <c r="P32" s="14">
        <v>96</v>
      </c>
      <c r="Q32" s="2">
        <v>3.8</v>
      </c>
      <c r="S32" s="16">
        <v>111</v>
      </c>
      <c r="T32" s="8">
        <v>3.8</v>
      </c>
      <c r="V32" s="14">
        <v>96</v>
      </c>
      <c r="W32" s="2">
        <v>3.8</v>
      </c>
    </row>
    <row r="33" spans="7:23" x14ac:dyDescent="0.3">
      <c r="G33" s="74">
        <v>118</v>
      </c>
      <c r="H33" s="19" t="s">
        <v>99</v>
      </c>
      <c r="J33" s="74">
        <v>98</v>
      </c>
      <c r="K33" s="19" t="s">
        <v>99</v>
      </c>
      <c r="M33" s="16">
        <v>113</v>
      </c>
      <c r="N33" s="8">
        <v>3.9</v>
      </c>
      <c r="P33" s="14">
        <v>98</v>
      </c>
      <c r="Q33" s="2">
        <v>3.9</v>
      </c>
      <c r="S33" s="16">
        <v>113</v>
      </c>
      <c r="T33" s="8">
        <v>3.9</v>
      </c>
      <c r="V33" s="14">
        <v>98</v>
      </c>
      <c r="W33" s="2">
        <v>3.9</v>
      </c>
    </row>
    <row r="34" spans="7:23" x14ac:dyDescent="0.3">
      <c r="G34" s="74">
        <v>119</v>
      </c>
      <c r="H34" s="19" t="s">
        <v>99</v>
      </c>
      <c r="J34" s="74">
        <v>99</v>
      </c>
      <c r="K34" s="19" t="s">
        <v>99</v>
      </c>
      <c r="M34" s="16">
        <v>115</v>
      </c>
      <c r="N34" s="8">
        <v>4</v>
      </c>
      <c r="P34" s="14">
        <v>100</v>
      </c>
      <c r="Q34" s="2">
        <v>4</v>
      </c>
      <c r="S34" s="16">
        <v>115</v>
      </c>
      <c r="T34" s="8">
        <v>4</v>
      </c>
      <c r="V34" s="14">
        <v>100</v>
      </c>
      <c r="W34" s="2">
        <v>4</v>
      </c>
    </row>
    <row r="35" spans="7:23" x14ac:dyDescent="0.3">
      <c r="G35" s="74">
        <v>120</v>
      </c>
      <c r="H35" s="19" t="s">
        <v>98</v>
      </c>
      <c r="J35" s="74">
        <v>100</v>
      </c>
      <c r="K35" s="19" t="s">
        <v>99</v>
      </c>
      <c r="M35" s="16">
        <v>117</v>
      </c>
      <c r="N35" s="8">
        <v>4.0999999999999996</v>
      </c>
      <c r="P35" s="14">
        <v>102</v>
      </c>
      <c r="Q35" s="2">
        <v>4.0999999999999996</v>
      </c>
      <c r="S35" s="16">
        <v>117</v>
      </c>
      <c r="T35" s="8">
        <v>4.0999999999999996</v>
      </c>
      <c r="V35" s="14">
        <v>102</v>
      </c>
      <c r="W35" s="2">
        <v>4.0999999999999996</v>
      </c>
    </row>
    <row r="36" spans="7:23" x14ac:dyDescent="0.3">
      <c r="G36" s="172"/>
      <c r="H36" s="19"/>
      <c r="J36" s="74">
        <v>101</v>
      </c>
      <c r="K36" s="19" t="s">
        <v>99</v>
      </c>
      <c r="M36" s="16">
        <v>119</v>
      </c>
      <c r="N36" s="8">
        <v>4.2</v>
      </c>
      <c r="P36" s="14">
        <v>104</v>
      </c>
      <c r="Q36" s="2">
        <v>4.2</v>
      </c>
      <c r="S36" s="16">
        <v>119</v>
      </c>
      <c r="T36" s="8">
        <v>4.2</v>
      </c>
      <c r="V36" s="14">
        <v>104</v>
      </c>
      <c r="W36" s="2">
        <v>4.2</v>
      </c>
    </row>
    <row r="37" spans="7:23" x14ac:dyDescent="0.3">
      <c r="J37" s="74">
        <v>102</v>
      </c>
      <c r="K37" s="19" t="s">
        <v>99</v>
      </c>
      <c r="M37" s="16">
        <v>121</v>
      </c>
      <c r="N37" s="8">
        <v>4.3</v>
      </c>
      <c r="P37" s="14">
        <v>106</v>
      </c>
      <c r="Q37" s="2">
        <v>4.3</v>
      </c>
      <c r="S37" s="16">
        <v>121</v>
      </c>
      <c r="T37" s="8">
        <v>4.3</v>
      </c>
      <c r="V37" s="14">
        <v>106</v>
      </c>
      <c r="W37" s="2">
        <v>4.3</v>
      </c>
    </row>
    <row r="38" spans="7:23" x14ac:dyDescent="0.3">
      <c r="J38" s="74">
        <v>103</v>
      </c>
      <c r="K38" s="19" t="s">
        <v>99</v>
      </c>
      <c r="M38" s="16">
        <v>123</v>
      </c>
      <c r="N38" s="8">
        <v>4.4000000000000004</v>
      </c>
      <c r="P38" s="14">
        <v>108</v>
      </c>
      <c r="Q38" s="2">
        <v>4.4000000000000004</v>
      </c>
      <c r="S38" s="16">
        <v>123</v>
      </c>
      <c r="T38" s="8">
        <v>4.4000000000000004</v>
      </c>
      <c r="V38" s="14">
        <v>108</v>
      </c>
      <c r="W38" s="2">
        <v>4.4000000000000004</v>
      </c>
    </row>
    <row r="39" spans="7:23" x14ac:dyDescent="0.3">
      <c r="J39" s="74">
        <v>104</v>
      </c>
      <c r="K39" s="19" t="s">
        <v>99</v>
      </c>
      <c r="M39" s="16">
        <v>125</v>
      </c>
      <c r="N39" s="8">
        <v>4.5</v>
      </c>
      <c r="P39" s="14">
        <v>110</v>
      </c>
      <c r="Q39" s="2">
        <v>4.5</v>
      </c>
      <c r="S39" s="16">
        <v>125</v>
      </c>
      <c r="T39" s="8">
        <v>4.5</v>
      </c>
      <c r="V39" s="14">
        <v>110</v>
      </c>
      <c r="W39" s="2">
        <v>4.5</v>
      </c>
    </row>
    <row r="40" spans="7:23" x14ac:dyDescent="0.3">
      <c r="J40" s="74">
        <v>105</v>
      </c>
      <c r="K40" s="19" t="s">
        <v>99</v>
      </c>
      <c r="M40" s="16">
        <v>127</v>
      </c>
      <c r="N40" s="8">
        <v>4.5999999999999996</v>
      </c>
      <c r="P40" s="14">
        <v>112</v>
      </c>
      <c r="Q40" s="2">
        <v>4.5999999999999996</v>
      </c>
      <c r="S40" s="16">
        <v>127</v>
      </c>
      <c r="T40" s="8">
        <v>4.5999999999999996</v>
      </c>
      <c r="V40" s="14">
        <v>112</v>
      </c>
      <c r="W40" s="2">
        <v>4.5999999999999996</v>
      </c>
    </row>
    <row r="41" spans="7:23" x14ac:dyDescent="0.3">
      <c r="J41" s="74">
        <v>106</v>
      </c>
      <c r="K41" s="19" t="s">
        <v>99</v>
      </c>
      <c r="M41" s="16">
        <v>129</v>
      </c>
      <c r="N41" s="8">
        <v>4.7</v>
      </c>
      <c r="P41" s="14">
        <v>114</v>
      </c>
      <c r="Q41" s="2">
        <v>4.7</v>
      </c>
      <c r="S41" s="16">
        <v>129</v>
      </c>
      <c r="T41" s="8">
        <v>4.7</v>
      </c>
      <c r="V41" s="14">
        <v>114</v>
      </c>
      <c r="W41" s="2">
        <v>4.7</v>
      </c>
    </row>
    <row r="42" spans="7:23" x14ac:dyDescent="0.3">
      <c r="J42" s="74">
        <v>107</v>
      </c>
      <c r="K42" s="19" t="s">
        <v>99</v>
      </c>
      <c r="M42" s="16">
        <v>131</v>
      </c>
      <c r="N42" s="8">
        <v>4.8</v>
      </c>
      <c r="P42" s="14">
        <v>116</v>
      </c>
      <c r="Q42" s="2">
        <v>4.8</v>
      </c>
      <c r="S42" s="16">
        <v>131</v>
      </c>
      <c r="T42" s="8">
        <v>4.8</v>
      </c>
      <c r="V42" s="14">
        <v>116</v>
      </c>
      <c r="W42" s="2">
        <v>4.8</v>
      </c>
    </row>
    <row r="43" spans="7:23" x14ac:dyDescent="0.3">
      <c r="J43" s="74">
        <v>108</v>
      </c>
      <c r="K43" s="19" t="s">
        <v>99</v>
      </c>
      <c r="M43" s="16">
        <v>133</v>
      </c>
      <c r="N43" s="8">
        <v>4.9000000000000004</v>
      </c>
      <c r="P43" s="14">
        <v>118</v>
      </c>
      <c r="Q43" s="2">
        <v>4.9000000000000004</v>
      </c>
      <c r="S43" s="16">
        <v>133</v>
      </c>
      <c r="T43" s="8">
        <v>4.9000000000000004</v>
      </c>
      <c r="V43" s="14">
        <v>118</v>
      </c>
      <c r="W43" s="2">
        <v>4.9000000000000004</v>
      </c>
    </row>
    <row r="44" spans="7:23" x14ac:dyDescent="0.3">
      <c r="J44" s="74">
        <v>109</v>
      </c>
      <c r="K44" s="19" t="s">
        <v>99</v>
      </c>
      <c r="M44" s="16">
        <v>135</v>
      </c>
      <c r="N44" s="8">
        <v>5</v>
      </c>
      <c r="P44" s="14">
        <v>120</v>
      </c>
      <c r="Q44" s="2">
        <v>5</v>
      </c>
      <c r="S44" s="16">
        <v>135</v>
      </c>
      <c r="T44" s="8">
        <v>5</v>
      </c>
      <c r="V44" s="14">
        <v>120</v>
      </c>
      <c r="W44" s="2">
        <v>5</v>
      </c>
    </row>
    <row r="45" spans="7:23" x14ac:dyDescent="0.3">
      <c r="J45" s="74">
        <v>110</v>
      </c>
      <c r="K45" s="19" t="s">
        <v>98</v>
      </c>
      <c r="M45" s="16">
        <v>136</v>
      </c>
      <c r="N45" s="8">
        <v>5.0999999999999996</v>
      </c>
      <c r="P45" s="14">
        <v>121</v>
      </c>
      <c r="Q45" s="2">
        <v>5.0999999999999996</v>
      </c>
      <c r="S45" s="16">
        <v>136</v>
      </c>
      <c r="T45" s="8">
        <v>5.0999999999999996</v>
      </c>
      <c r="V45" s="14">
        <v>121</v>
      </c>
      <c r="W45" s="2">
        <v>5.0999999999999996</v>
      </c>
    </row>
    <row r="46" spans="7:23" x14ac:dyDescent="0.3">
      <c r="J46" s="172"/>
      <c r="K46" s="19"/>
      <c r="M46" s="16">
        <v>137</v>
      </c>
      <c r="N46" s="8">
        <v>5.2</v>
      </c>
      <c r="P46" s="14">
        <v>122</v>
      </c>
      <c r="Q46" s="2">
        <v>5.2</v>
      </c>
      <c r="S46" s="16">
        <v>137</v>
      </c>
      <c r="T46" s="8">
        <v>5.2</v>
      </c>
      <c r="V46" s="14">
        <v>122</v>
      </c>
      <c r="W46" s="2">
        <v>5.2</v>
      </c>
    </row>
    <row r="47" spans="7:23" x14ac:dyDescent="0.3">
      <c r="M47" s="16">
        <v>138</v>
      </c>
      <c r="N47" s="8">
        <v>5.3</v>
      </c>
      <c r="P47" s="14">
        <v>123</v>
      </c>
      <c r="Q47" s="2">
        <v>5.3</v>
      </c>
      <c r="S47" s="16">
        <v>138</v>
      </c>
      <c r="T47" s="8">
        <v>5.3</v>
      </c>
      <c r="V47" s="14">
        <v>123</v>
      </c>
      <c r="W47" s="2">
        <v>5.3</v>
      </c>
    </row>
    <row r="48" spans="7:23" x14ac:dyDescent="0.3">
      <c r="M48" s="16">
        <v>139</v>
      </c>
      <c r="N48" s="8">
        <v>5.4</v>
      </c>
      <c r="P48" s="14">
        <v>124</v>
      </c>
      <c r="Q48" s="2">
        <v>5.4</v>
      </c>
      <c r="S48" s="16">
        <v>139</v>
      </c>
      <c r="T48" s="8">
        <v>5.4</v>
      </c>
      <c r="V48" s="14">
        <v>124</v>
      </c>
      <c r="W48" s="2">
        <v>5.4</v>
      </c>
    </row>
    <row r="49" spans="13:23" x14ac:dyDescent="0.3">
      <c r="M49" s="16">
        <v>140</v>
      </c>
      <c r="N49" s="8">
        <v>5.5</v>
      </c>
      <c r="P49" s="14">
        <v>125</v>
      </c>
      <c r="Q49" s="2">
        <v>5.5</v>
      </c>
      <c r="S49" s="16">
        <v>140</v>
      </c>
      <c r="T49" s="8">
        <v>5.5</v>
      </c>
      <c r="V49" s="14">
        <v>125</v>
      </c>
      <c r="W49" s="2">
        <v>5.5</v>
      </c>
    </row>
    <row r="50" spans="13:23" x14ac:dyDescent="0.3">
      <c r="M50" s="16">
        <v>141</v>
      </c>
      <c r="N50" s="8">
        <v>5.6</v>
      </c>
      <c r="P50" s="14">
        <v>126</v>
      </c>
      <c r="Q50" s="2">
        <v>5.6</v>
      </c>
      <c r="S50" s="16">
        <v>141</v>
      </c>
      <c r="T50" s="8">
        <v>5.6</v>
      </c>
      <c r="V50" s="14">
        <v>126</v>
      </c>
      <c r="W50" s="2">
        <v>5.6</v>
      </c>
    </row>
    <row r="51" spans="13:23" x14ac:dyDescent="0.3">
      <c r="M51" s="16">
        <v>142</v>
      </c>
      <c r="N51" s="8">
        <v>5.7</v>
      </c>
      <c r="P51" s="14">
        <v>127</v>
      </c>
      <c r="Q51" s="2">
        <v>5.7</v>
      </c>
      <c r="S51" s="16">
        <v>142</v>
      </c>
      <c r="T51" s="8">
        <v>5.7</v>
      </c>
      <c r="V51" s="14">
        <v>127</v>
      </c>
      <c r="W51" s="2">
        <v>5.7</v>
      </c>
    </row>
    <row r="52" spans="13:23" x14ac:dyDescent="0.3">
      <c r="M52" s="16">
        <v>143</v>
      </c>
      <c r="N52" s="8">
        <v>5.8</v>
      </c>
      <c r="P52" s="14">
        <v>128</v>
      </c>
      <c r="Q52" s="2">
        <v>5.8</v>
      </c>
      <c r="S52" s="16">
        <v>143</v>
      </c>
      <c r="T52" s="8">
        <v>5.8</v>
      </c>
      <c r="V52" s="14">
        <v>128</v>
      </c>
      <c r="W52" s="2">
        <v>5.8</v>
      </c>
    </row>
    <row r="53" spans="13:23" x14ac:dyDescent="0.3">
      <c r="M53" s="16">
        <v>144</v>
      </c>
      <c r="N53" s="8">
        <v>5.9</v>
      </c>
      <c r="P53" s="14">
        <v>129</v>
      </c>
      <c r="Q53" s="2">
        <v>5.9</v>
      </c>
      <c r="S53" s="16">
        <v>144</v>
      </c>
      <c r="T53" s="8">
        <v>5.9</v>
      </c>
      <c r="V53" s="14">
        <v>129</v>
      </c>
      <c r="W53" s="2">
        <v>5.9</v>
      </c>
    </row>
    <row r="54" spans="13:23" x14ac:dyDescent="0.3">
      <c r="M54" s="16">
        <v>145</v>
      </c>
      <c r="N54" s="8">
        <v>6</v>
      </c>
      <c r="P54" s="14">
        <v>130</v>
      </c>
      <c r="Q54" s="2">
        <v>6</v>
      </c>
      <c r="S54" s="16">
        <v>145</v>
      </c>
      <c r="T54" s="8">
        <v>6</v>
      </c>
      <c r="V54" s="14">
        <v>130</v>
      </c>
      <c r="W54" s="2">
        <v>6</v>
      </c>
    </row>
    <row r="55" spans="13:23" x14ac:dyDescent="0.3">
      <c r="M55" s="172"/>
      <c r="N55" s="58"/>
      <c r="P55" s="172"/>
      <c r="Q55" s="59"/>
      <c r="S55" s="172"/>
      <c r="T55" s="58"/>
      <c r="V55" s="172"/>
      <c r="W55" s="59"/>
    </row>
  </sheetData>
  <mergeCells count="8">
    <mergeCell ref="S2:T2"/>
    <mergeCell ref="V2:W2"/>
    <mergeCell ref="P2:Q2"/>
    <mergeCell ref="A2:B2"/>
    <mergeCell ref="D2:E2"/>
    <mergeCell ref="G2:H2"/>
    <mergeCell ref="J2:K2"/>
    <mergeCell ref="M2:N2"/>
  </mergeCells>
  <dataValidations count="1">
    <dataValidation type="list" allowBlank="1" showInputMessage="1" showErrorMessage="1" sqref="B4:B21 E4:E25 H4:H35 K4:K45">
      <formula1>$Y$2:$Y$5</formula1>
    </dataValidation>
  </dataValidations>
  <pageMargins left="0.7" right="0.7" top="0.78740157499999996" bottom="0.78740157499999996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AA81"/>
  <sheetViews>
    <sheetView showGridLines="0" showRowColHeaders="0" topLeftCell="I1" zoomScale="77" zoomScaleNormal="77" workbookViewId="0">
      <selection activeCell="P9" sqref="P9:Q9"/>
    </sheetView>
  </sheetViews>
  <sheetFormatPr baseColWidth="10" defaultColWidth="0" defaultRowHeight="13.8" zeroHeight="1" x14ac:dyDescent="0.25"/>
  <cols>
    <col min="1" max="1" width="8.88671875" style="310" hidden="1" customWidth="1"/>
    <col min="2" max="2" width="18.33203125" style="310" hidden="1" customWidth="1"/>
    <col min="3" max="3" width="17.44140625" style="311" hidden="1" customWidth="1"/>
    <col min="4" max="4" width="27.109375" style="311" hidden="1" customWidth="1"/>
    <col min="5" max="5" width="22" style="311" hidden="1" customWidth="1"/>
    <col min="6" max="6" width="22.33203125" style="311" hidden="1" customWidth="1"/>
    <col min="7" max="7" width="22.6640625" style="311" hidden="1" customWidth="1"/>
    <col min="8" max="8" width="3.6640625" style="312" hidden="1" customWidth="1"/>
    <col min="9" max="9" width="5.33203125" style="312" customWidth="1"/>
    <col min="10" max="10" width="38.77734375" style="324" customWidth="1"/>
    <col min="11" max="11" width="5.44140625" style="313" customWidth="1"/>
    <col min="12" max="12" width="1.109375" style="313" customWidth="1"/>
    <col min="13" max="13" width="5.44140625" style="313" customWidth="1"/>
    <col min="14" max="14" width="35.33203125" style="307" customWidth="1"/>
    <col min="15" max="15" width="19.6640625" style="307" customWidth="1"/>
    <col min="16" max="16" width="12.6640625" style="307" customWidth="1"/>
    <col min="17" max="18" width="21.5546875" style="307" customWidth="1"/>
    <col min="19" max="19" width="5.44140625" style="307" customWidth="1"/>
    <col min="20" max="20" width="1.109375" style="307" customWidth="1"/>
    <col min="21" max="26" width="11.5546875" style="307" hidden="1" customWidth="1"/>
    <col min="27" max="27" width="15.5546875" style="307" hidden="1" customWidth="1"/>
    <col min="28" max="16384" width="11.5546875" style="307" hidden="1"/>
  </cols>
  <sheetData>
    <row r="1" spans="1:22" ht="15" customHeight="1" thickBot="1" x14ac:dyDescent="0.3">
      <c r="A1" s="304" t="str">
        <f>MID(Stammdaten!$AX$25,2,LEN(Stammdaten!$AX$25))</f>
        <v>dispensiert</v>
      </c>
      <c r="B1" s="304" t="str">
        <f>MID(Stammdaten!AX27,2,LEN(Stammdaten!$AX$27))</f>
        <v>nicht durchgeführt</v>
      </c>
      <c r="C1" s="305"/>
      <c r="D1" s="305"/>
      <c r="E1" s="305"/>
      <c r="F1" s="305"/>
      <c r="G1" s="305"/>
      <c r="H1" s="306"/>
      <c r="I1" s="306"/>
      <c r="J1" s="569" t="s">
        <v>567</v>
      </c>
      <c r="K1" s="308"/>
      <c r="L1" s="308"/>
      <c r="M1" s="308"/>
      <c r="N1" s="309"/>
    </row>
    <row r="2" spans="1:22" ht="15.6" customHeight="1" thickTop="1" x14ac:dyDescent="0.35">
      <c r="B2" s="310" t="s">
        <v>509</v>
      </c>
      <c r="C2" s="311" t="str">
        <f>$B$2&amp;"[Schulgemeinde]"</f>
        <v>Schulgemeinden[Schulgemeinde]</v>
      </c>
      <c r="D2" s="311" t="str">
        <f>$B$2&amp;"[Position]"</f>
        <v>Schulgemeinden[Position]</v>
      </c>
      <c r="H2" s="312">
        <f ca="1">INDEX(INDIRECT($D$2),MATCH(Resultatmappe!$C$11,INDIRECT($C$2),0))</f>
        <v>1</v>
      </c>
      <c r="J2" s="569"/>
      <c r="M2" s="314"/>
      <c r="N2" s="315"/>
      <c r="O2" s="316"/>
      <c r="P2" s="316"/>
      <c r="Q2" s="317"/>
      <c r="R2" s="316"/>
      <c r="S2" s="318"/>
      <c r="T2" s="18"/>
    </row>
    <row r="3" spans="1:22" ht="29.1" customHeight="1" x14ac:dyDescent="0.3">
      <c r="J3" s="570" t="s">
        <v>564</v>
      </c>
      <c r="M3" s="319"/>
      <c r="N3" s="574" t="s">
        <v>269</v>
      </c>
      <c r="O3" s="574"/>
      <c r="P3" s="320"/>
      <c r="Q3" s="33"/>
      <c r="R3" s="320"/>
      <c r="S3" s="321"/>
      <c r="T3" s="18"/>
    </row>
    <row r="4" spans="1:22" ht="29.1" customHeight="1" x14ac:dyDescent="0.3">
      <c r="J4" s="570"/>
      <c r="M4" s="319"/>
      <c r="N4" s="581" t="s">
        <v>273</v>
      </c>
      <c r="O4" s="581"/>
      <c r="P4" s="320"/>
      <c r="Q4" s="33"/>
      <c r="R4" s="320"/>
      <c r="S4" s="321"/>
      <c r="T4" s="18"/>
    </row>
    <row r="5" spans="1:22" ht="18.600000000000001" customHeight="1" x14ac:dyDescent="0.35">
      <c r="J5" s="570"/>
      <c r="M5" s="319"/>
      <c r="N5" s="322"/>
      <c r="O5" s="323"/>
      <c r="P5" s="320"/>
      <c r="Q5" s="33"/>
      <c r="R5" s="320"/>
      <c r="S5" s="321"/>
      <c r="T5" s="18"/>
    </row>
    <row r="6" spans="1:22" ht="10.199999999999999" customHeight="1" x14ac:dyDescent="0.35">
      <c r="J6" s="570"/>
      <c r="M6" s="319"/>
      <c r="N6" s="322"/>
      <c r="O6" s="323"/>
      <c r="P6" s="320"/>
      <c r="Q6" s="33"/>
      <c r="R6" s="320"/>
      <c r="S6" s="321"/>
      <c r="T6" s="18"/>
    </row>
    <row r="7" spans="1:22" ht="58.2" x14ac:dyDescent="0.3">
      <c r="A7" s="18"/>
      <c r="J7" s="570"/>
      <c r="M7" s="319"/>
      <c r="N7" s="580" t="s">
        <v>538</v>
      </c>
      <c r="O7" s="580"/>
      <c r="P7" s="580"/>
      <c r="Q7" s="580"/>
      <c r="R7" s="580"/>
      <c r="S7" s="321"/>
      <c r="V7" s="313"/>
    </row>
    <row r="8" spans="1:22" ht="10.199999999999999" customHeight="1" x14ac:dyDescent="0.3">
      <c r="M8" s="319"/>
      <c r="N8" s="320"/>
      <c r="O8" s="320"/>
      <c r="P8" s="320"/>
      <c r="R8" s="320"/>
      <c r="S8" s="321"/>
      <c r="V8" s="18"/>
    </row>
    <row r="9" spans="1:22" ht="20.399999999999999" x14ac:dyDescent="0.35">
      <c r="A9" s="310" t="s">
        <v>425</v>
      </c>
      <c r="B9" s="310" t="s">
        <v>426</v>
      </c>
      <c r="C9" s="311" t="str">
        <f>$A$9&amp;$B$9</f>
        <v>Schuljahre[Schuljahr]</v>
      </c>
      <c r="J9" s="358"/>
      <c r="M9" s="319"/>
      <c r="N9" s="573" t="s">
        <v>268</v>
      </c>
      <c r="O9" s="573"/>
      <c r="P9" s="582" t="s">
        <v>427</v>
      </c>
      <c r="Q9" s="582"/>
      <c r="R9" s="325"/>
      <c r="S9" s="321"/>
    </row>
    <row r="10" spans="1:22" ht="15.6" customHeight="1" x14ac:dyDescent="0.3">
      <c r="M10" s="319"/>
      <c r="O10" s="303"/>
      <c r="P10" s="303"/>
      <c r="R10" s="320"/>
      <c r="S10" s="321"/>
      <c r="T10" s="18"/>
    </row>
    <row r="11" spans="1:22" x14ac:dyDescent="0.25">
      <c r="C11" s="326"/>
      <c r="D11" s="326"/>
      <c r="E11" s="326"/>
      <c r="F11" s="327">
        <v>2</v>
      </c>
      <c r="G11" s="327"/>
      <c r="H11" s="327"/>
      <c r="I11" s="327"/>
      <c r="J11" s="328"/>
      <c r="K11" s="329"/>
      <c r="L11" s="329"/>
      <c r="M11" s="330"/>
      <c r="N11" s="320"/>
      <c r="O11" s="320"/>
      <c r="P11" s="320"/>
      <c r="Q11" s="320"/>
      <c r="R11" s="320"/>
      <c r="S11" s="321"/>
    </row>
    <row r="12" spans="1:22" ht="20.399999999999999" customHeight="1" x14ac:dyDescent="0.35">
      <c r="A12" s="310" t="s">
        <v>311</v>
      </c>
      <c r="B12" s="310" t="s">
        <v>312</v>
      </c>
      <c r="C12" s="311" t="str">
        <f>$A$12&amp;$B12</f>
        <v>AuswDipl0[Nummer]</v>
      </c>
      <c r="E12" s="331" t="s">
        <v>277</v>
      </c>
      <c r="F12" s="327">
        <v>3</v>
      </c>
      <c r="G12" s="327"/>
      <c r="H12" s="327"/>
      <c r="I12" s="327"/>
      <c r="J12" s="571" t="s">
        <v>570</v>
      </c>
      <c r="K12" s="300">
        <v>1</v>
      </c>
      <c r="L12" s="332"/>
      <c r="M12" s="333"/>
      <c r="N12" s="579">
        <f ca="1">VLOOKUP($K$12,INDIRECT($E$12),$F$12,FALSE)</f>
        <v>0</v>
      </c>
      <c r="O12" s="579"/>
      <c r="P12" s="578">
        <f ca="1">VLOOKUP($K$12,INDIRECT($E$12),$F$11,FALSE)</f>
        <v>0</v>
      </c>
      <c r="Q12" s="578"/>
      <c r="R12" s="578"/>
      <c r="S12" s="321"/>
    </row>
    <row r="13" spans="1:22" ht="20.399999999999999" x14ac:dyDescent="0.35">
      <c r="E13" s="331"/>
      <c r="F13" s="327"/>
      <c r="G13" s="327"/>
      <c r="H13" s="327"/>
      <c r="I13" s="327"/>
      <c r="J13" s="571"/>
      <c r="K13" s="334"/>
      <c r="L13" s="334"/>
      <c r="M13" s="335"/>
      <c r="N13" s="336"/>
      <c r="O13" s="336"/>
      <c r="P13" s="336"/>
      <c r="Q13" s="336"/>
      <c r="R13" s="336"/>
      <c r="S13" s="321"/>
      <c r="T13" s="337"/>
    </row>
    <row r="14" spans="1:22" ht="14.4" customHeight="1" x14ac:dyDescent="0.35">
      <c r="E14" s="331"/>
      <c r="F14" s="327"/>
      <c r="G14" s="327"/>
      <c r="H14" s="327"/>
      <c r="I14" s="327"/>
      <c r="J14" s="571"/>
      <c r="K14" s="334"/>
      <c r="L14" s="334"/>
      <c r="M14" s="335"/>
      <c r="N14" s="338"/>
      <c r="O14" s="338"/>
      <c r="P14" s="338"/>
      <c r="Q14" s="338"/>
      <c r="R14" s="338"/>
      <c r="S14" s="321"/>
      <c r="T14" s="337"/>
    </row>
    <row r="15" spans="1:22" ht="14.4" x14ac:dyDescent="0.3">
      <c r="J15" s="571"/>
      <c r="M15" s="319"/>
      <c r="N15" s="320"/>
      <c r="O15" s="320"/>
      <c r="P15" s="320"/>
      <c r="Q15" s="320"/>
      <c r="R15" s="320"/>
      <c r="S15" s="321"/>
      <c r="T15" s="18"/>
    </row>
    <row r="16" spans="1:22" ht="22.2" x14ac:dyDescent="0.35">
      <c r="M16" s="319"/>
      <c r="N16" s="339" t="s">
        <v>539</v>
      </c>
      <c r="O16" s="320"/>
      <c r="P16" s="320"/>
      <c r="Q16" s="320"/>
      <c r="R16" s="320"/>
      <c r="S16" s="321"/>
    </row>
    <row r="17" spans="1:23" ht="15.6" customHeight="1" x14ac:dyDescent="0.3">
      <c r="M17" s="319"/>
      <c r="N17" s="320"/>
      <c r="O17" s="320"/>
      <c r="P17" s="320"/>
      <c r="Q17" s="320"/>
      <c r="R17" s="320"/>
      <c r="S17" s="321"/>
      <c r="T17" s="18"/>
    </row>
    <row r="18" spans="1:23" ht="4.05" customHeight="1" x14ac:dyDescent="0.3">
      <c r="A18" s="307"/>
      <c r="B18" s="307"/>
      <c r="G18" s="307"/>
      <c r="H18" s="307"/>
      <c r="M18" s="319"/>
      <c r="N18" s="340"/>
      <c r="O18" s="340"/>
      <c r="P18" s="340"/>
      <c r="Q18" s="340"/>
      <c r="R18" s="303"/>
      <c r="S18" s="321"/>
      <c r="T18" s="18"/>
      <c r="U18" s="18"/>
      <c r="V18" s="18"/>
      <c r="W18" s="18"/>
    </row>
    <row r="19" spans="1:23" ht="15.6" customHeight="1" x14ac:dyDescent="0.3">
      <c r="A19" s="310" t="s">
        <v>365</v>
      </c>
      <c r="B19" s="310" t="s">
        <v>504</v>
      </c>
      <c r="G19" s="311" t="str">
        <f>$A$12&amp;$A19&amp;$B$19</f>
        <v>AuswDipl0[BS_1_Pos]</v>
      </c>
      <c r="H19" s="312">
        <f ca="1">INDEX(INDIRECT($G$19),MATCH($K$12,INDIRECT($C$12),0))</f>
        <v>6</v>
      </c>
      <c r="M19" s="319"/>
      <c r="N19" s="341" t="str">
        <f>Stammdaten!AN2</f>
        <v>BS.1   Laufen, Springen, Werfen</v>
      </c>
      <c r="O19" s="320"/>
      <c r="P19" s="320"/>
      <c r="Q19" s="320"/>
      <c r="R19" s="303"/>
      <c r="S19" s="321"/>
      <c r="T19" s="18"/>
      <c r="U19" s="18"/>
      <c r="V19" s="18"/>
      <c r="W19" s="18"/>
    </row>
    <row r="20" spans="1:23" ht="3" customHeight="1" x14ac:dyDescent="0.3">
      <c r="M20" s="319"/>
      <c r="N20" s="341"/>
      <c r="O20" s="320"/>
      <c r="P20" s="320"/>
      <c r="Q20" s="320"/>
      <c r="R20" s="303"/>
      <c r="S20" s="321"/>
      <c r="T20" s="18"/>
      <c r="U20" s="18"/>
      <c r="V20" s="18"/>
      <c r="W20" s="18"/>
    </row>
    <row r="21" spans="1:23" ht="15.6" customHeight="1" x14ac:dyDescent="0.3">
      <c r="H21" s="311">
        <f ca="1">IF(AND(OR(O22=$A$1,O22=$B$1),OR(O23=$A$1,O23=$B$1),OR(O24=$A$1,O24=$B$1),OR(O25=$A$1,O25=$B$1)),1,"")</f>
        <v>1</v>
      </c>
      <c r="I21" s="311"/>
      <c r="J21" s="328"/>
      <c r="M21" s="319"/>
      <c r="N21" s="303"/>
      <c r="O21" s="320"/>
      <c r="P21" s="320"/>
      <c r="Q21" s="357" t="s">
        <v>323</v>
      </c>
      <c r="R21" s="320"/>
      <c r="S21" s="321"/>
      <c r="T21" s="18"/>
    </row>
    <row r="22" spans="1:23" ht="15.6" customHeight="1" x14ac:dyDescent="0.3">
      <c r="B22" s="310" t="s">
        <v>313</v>
      </c>
      <c r="D22" s="311" t="str">
        <f>$A$12&amp;$B22&amp;"00]"</f>
        <v>AuswDipl0[Sprint00]</v>
      </c>
      <c r="E22" s="311" t="str">
        <f>$A$12&amp;$B22&amp;"001]"</f>
        <v>AuswDipl0[Sprint001]</v>
      </c>
      <c r="F22" s="311" t="str">
        <f>$A$12&amp;$B22&amp;"1]"</f>
        <v>AuswDipl0[Sprint1]</v>
      </c>
      <c r="H22" s="18"/>
      <c r="I22" s="18"/>
      <c r="M22" s="319"/>
      <c r="N22" s="342" t="str">
        <f ca="1">INDEX(INDIRECT($D22),MATCH($K$12,INDIRECT($C$12),0))</f>
        <v>Sprintdisziplinen</v>
      </c>
      <c r="O22" s="303" t="str">
        <f ca="1">INDEX(INDIRECT($E22),MATCH($K$12,INDIRECT($C$12),0))</f>
        <v>nicht durchgeführt</v>
      </c>
      <c r="P22" s="303"/>
      <c r="Q22" s="343" t="str">
        <f ca="1">INDEX(INDIRECT(F22),MATCH($K$12,INDIRECT($C$12),0))</f>
        <v/>
      </c>
      <c r="R22" s="320"/>
      <c r="S22" s="321"/>
      <c r="T22" s="18"/>
    </row>
    <row r="23" spans="1:23" ht="15.6" customHeight="1" x14ac:dyDescent="0.3">
      <c r="B23" s="310" t="s">
        <v>314</v>
      </c>
      <c r="D23" s="311" t="str">
        <f>$A$12&amp;B23&amp;"00]"</f>
        <v>AuswDipl0[Ausdauer00]</v>
      </c>
      <c r="E23" s="311" t="str">
        <f>$A$12&amp;$B23&amp;"001]"</f>
        <v>AuswDipl0[Ausdauer001]</v>
      </c>
      <c r="F23" s="311" t="str">
        <f>$A$12&amp;$B23&amp;"1]"</f>
        <v>AuswDipl0[Ausdauer1]</v>
      </c>
      <c r="H23" s="18"/>
      <c r="I23" s="18"/>
      <c r="M23" s="319"/>
      <c r="N23" s="342" t="str">
        <f ca="1">INDEX(INDIRECT($D23),MATCH($K$12,INDIRECT($C$12),0))</f>
        <v>Ausdauerdisziplinen</v>
      </c>
      <c r="O23" s="303" t="str">
        <f ca="1">INDEX(INDIRECT($E23),MATCH($K$12,INDIRECT($C$12),0))</f>
        <v>nicht durchgeführt</v>
      </c>
      <c r="P23" s="303"/>
      <c r="Q23" s="343" t="str">
        <f ca="1">INDEX(INDIRECT(F23),MATCH($K$12,INDIRECT($C$12),0))</f>
        <v/>
      </c>
      <c r="R23" s="320"/>
      <c r="S23" s="321"/>
      <c r="T23" s="18"/>
      <c r="U23" s="18"/>
    </row>
    <row r="24" spans="1:23" ht="15.6" customHeight="1" x14ac:dyDescent="0.3">
      <c r="B24" s="310" t="s">
        <v>315</v>
      </c>
      <c r="D24" s="311" t="str">
        <f>$A$12&amp;B24&amp;"00]"</f>
        <v>AuswDipl0[Sprung00]</v>
      </c>
      <c r="E24" s="311" t="str">
        <f>$A$12&amp;$B24&amp;"001]"</f>
        <v>AuswDipl0[Sprung001]</v>
      </c>
      <c r="F24" s="311" t="str">
        <f>$A$12&amp;$B24&amp;"1]"</f>
        <v>AuswDipl0[Sprung1]</v>
      </c>
      <c r="H24" s="18"/>
      <c r="I24" s="18"/>
      <c r="M24" s="319"/>
      <c r="N24" s="342" t="str">
        <f ca="1">INDEX(INDIRECT($D24),MATCH($K$12,INDIRECT($C$12),0))</f>
        <v>Sprungdisziplinen</v>
      </c>
      <c r="O24" s="303" t="str">
        <f ca="1">INDEX(INDIRECT($E24),MATCH($K$12,INDIRECT($C$12),0))</f>
        <v>nicht durchgeführt</v>
      </c>
      <c r="P24" s="303"/>
      <c r="Q24" s="343" t="str">
        <f ca="1">INDEX(INDIRECT(F24),MATCH($K$12,INDIRECT($C$12),0))</f>
        <v/>
      </c>
      <c r="R24" s="320"/>
      <c r="S24" s="321"/>
    </row>
    <row r="25" spans="1:23" ht="15.6" customHeight="1" x14ac:dyDescent="0.3">
      <c r="B25" s="310" t="s">
        <v>316</v>
      </c>
      <c r="D25" s="311" t="str">
        <f>$A$12&amp;B25&amp;"00]"</f>
        <v>AuswDipl0[Wurf00]</v>
      </c>
      <c r="E25" s="311" t="str">
        <f>$A$12&amp;$B25&amp;"001]"</f>
        <v>AuswDipl0[Wurf001]</v>
      </c>
      <c r="F25" s="311" t="str">
        <f>$A$12&amp;$B25&amp;"1]"</f>
        <v>AuswDipl0[Wurf1]</v>
      </c>
      <c r="H25" s="18"/>
      <c r="I25" s="18"/>
      <c r="M25" s="319"/>
      <c r="N25" s="342" t="str">
        <f ca="1">INDEX(INDIRECT($D25),MATCH($K$12,INDIRECT($C$12),0))</f>
        <v>Wurfdisziplinen</v>
      </c>
      <c r="O25" s="303" t="str">
        <f ca="1">INDEX(INDIRECT($E25),MATCH($K$12,INDIRECT($C$12),0))</f>
        <v>nicht durchgeführt</v>
      </c>
      <c r="P25" s="303"/>
      <c r="Q25" s="343" t="str">
        <f ca="1">INDEX(INDIRECT(F25),MATCH($K$12,INDIRECT($C$12),0))</f>
        <v/>
      </c>
      <c r="R25" s="320"/>
      <c r="S25" s="321"/>
    </row>
    <row r="26" spans="1:23" ht="3" customHeight="1" x14ac:dyDescent="0.25">
      <c r="M26" s="319"/>
      <c r="N26" s="342"/>
      <c r="O26" s="344"/>
      <c r="P26" s="344"/>
      <c r="Q26" s="344"/>
      <c r="R26" s="320"/>
      <c r="S26" s="321"/>
    </row>
    <row r="27" spans="1:23" ht="15.6" customHeight="1" x14ac:dyDescent="0.25">
      <c r="M27" s="319"/>
      <c r="N27" s="320"/>
      <c r="O27" s="320"/>
      <c r="P27" s="320"/>
      <c r="Q27" s="320"/>
      <c r="R27" s="320"/>
      <c r="S27" s="321"/>
    </row>
    <row r="28" spans="1:23" ht="4.05" customHeight="1" x14ac:dyDescent="0.25">
      <c r="A28" s="307"/>
      <c r="G28" s="307"/>
      <c r="H28" s="307"/>
      <c r="M28" s="319"/>
      <c r="N28" s="340"/>
      <c r="O28" s="340"/>
      <c r="P28" s="340"/>
      <c r="Q28" s="340"/>
      <c r="R28" s="303"/>
      <c r="S28" s="321"/>
    </row>
    <row r="29" spans="1:23" ht="15.6" customHeight="1" x14ac:dyDescent="0.3">
      <c r="A29" s="310" t="s">
        <v>366</v>
      </c>
      <c r="G29" s="311" t="str">
        <f>$A$12&amp;$A29&amp;$B$19</f>
        <v>AuswDipl0[BS_2_Pos]</v>
      </c>
      <c r="H29" s="312">
        <f ca="1">INDEX(INDIRECT($G$29),MATCH($K$12,INDIRECT($C$12),0))</f>
        <v>6</v>
      </c>
      <c r="M29" s="319"/>
      <c r="N29" s="341" t="str">
        <f>Stammdaten!AN3</f>
        <v>BS.2   Bewegen an Geräten</v>
      </c>
      <c r="O29" s="320"/>
      <c r="P29" s="320"/>
      <c r="Q29" s="320"/>
      <c r="R29" s="303"/>
      <c r="S29" s="321"/>
    </row>
    <row r="30" spans="1:23" ht="3" customHeight="1" x14ac:dyDescent="0.3">
      <c r="M30" s="319"/>
      <c r="N30" s="341"/>
      <c r="O30" s="320"/>
      <c r="P30" s="320"/>
      <c r="Q30" s="320"/>
      <c r="R30" s="303"/>
      <c r="S30" s="321"/>
    </row>
    <row r="31" spans="1:23" ht="15.6" customHeight="1" x14ac:dyDescent="0.3">
      <c r="C31" s="311" t="s">
        <v>498</v>
      </c>
      <c r="H31" s="311">
        <f ca="1">IF(AND(OR(O32=$A$1,O32=$B$1),OR(O33=$A$1,O33=$B$1),OR(O34=$A$1,O34=$B$1),OR(O35=$A$1,O35=$B$1)),1,"")</f>
        <v>1</v>
      </c>
      <c r="I31" s="311"/>
      <c r="M31" s="319"/>
      <c r="N31" s="303"/>
      <c r="O31" s="18"/>
      <c r="P31" s="303"/>
      <c r="Q31" s="357" t="str">
        <f>$Q$21</f>
        <v>Erreichter Wert</v>
      </c>
      <c r="R31" s="320"/>
      <c r="S31" s="321"/>
      <c r="T31" s="18"/>
    </row>
    <row r="32" spans="1:23" ht="15.6" customHeight="1" x14ac:dyDescent="0.25">
      <c r="B32" s="310" t="s">
        <v>492</v>
      </c>
      <c r="C32" s="311" t="s">
        <v>544</v>
      </c>
      <c r="D32" s="311" t="str">
        <f>$A$12&amp;$B32&amp;$C$31</f>
        <v>AuswDipl0[ErGe_Txt1]</v>
      </c>
      <c r="E32" s="311" t="str">
        <f>$A$12&amp;$B32&amp;$C$32</f>
        <v>AuswDipl0[ErGe_Txt3]</v>
      </c>
      <c r="F32" s="311" t="str">
        <f>$A$12&amp;$B32&amp;$C$33</f>
        <v>AuswDipl0[ErGe_Res2]</v>
      </c>
      <c r="M32" s="319"/>
      <c r="N32" s="342" t="str">
        <f ca="1">INDEX(INDIRECT($D$32),MATCH($K$12,INDIRECT($C$12),0))</f>
        <v>Erstes Gerät</v>
      </c>
      <c r="O32" s="344" t="str">
        <f ca="1">INDEX(INDIRECT($E$32),MATCH($K$12,INDIRECT($C$12),0))</f>
        <v>nicht durchgeführt</v>
      </c>
      <c r="P32" s="344"/>
      <c r="Q32" s="344" t="str">
        <f ca="1">INDEX(INDIRECT($F$32),MATCH($K$12,INDIRECT($C$12),0))</f>
        <v/>
      </c>
      <c r="R32" s="320"/>
      <c r="S32" s="321"/>
    </row>
    <row r="33" spans="1:20" ht="15.6" customHeight="1" x14ac:dyDescent="0.25">
      <c r="B33" s="310" t="s">
        <v>493</v>
      </c>
      <c r="C33" s="311" t="s">
        <v>500</v>
      </c>
      <c r="D33" s="311" t="str">
        <f>$A$12&amp;$B33&amp;$C$31</f>
        <v>AuswDipl0[ZwGe_Txt1]</v>
      </c>
      <c r="E33" s="311" t="str">
        <f>$A$12&amp;$B33&amp;$C$32</f>
        <v>AuswDipl0[ZwGe_Txt3]</v>
      </c>
      <c r="F33" s="311" t="str">
        <f>$A$12&amp;$B33&amp;$C$33</f>
        <v>AuswDipl0[ZwGe_Res2]</v>
      </c>
      <c r="M33" s="319"/>
      <c r="N33" s="342" t="str">
        <f ca="1">INDEX(INDIRECT($D$33),MATCH($K$12,INDIRECT($C$12),0))</f>
        <v>Zweites Gerät</v>
      </c>
      <c r="O33" s="344" t="str">
        <f ca="1">INDEX(INDIRECT($E$33),MATCH($K$12,INDIRECT($C$12),0))</f>
        <v>nicht durchgeführt</v>
      </c>
      <c r="P33" s="344"/>
      <c r="Q33" s="344" t="str">
        <f ca="1">INDEX(INDIRECT($F$33),MATCH($K$12,INDIRECT($C$12),0))</f>
        <v/>
      </c>
      <c r="R33" s="320"/>
      <c r="S33" s="321"/>
    </row>
    <row r="34" spans="1:20" ht="15.6" customHeight="1" x14ac:dyDescent="0.25">
      <c r="B34" s="310" t="s">
        <v>494</v>
      </c>
      <c r="C34" s="311" t="s">
        <v>499</v>
      </c>
      <c r="D34" s="311" t="str">
        <f>$A$12&amp;$B34&amp;$C$31</f>
        <v>AuswDipl0[DrGe_Txt1]</v>
      </c>
      <c r="E34" s="311" t="str">
        <f>$A$12&amp;$B34&amp;$C$32</f>
        <v>AuswDipl0[DrGe_Txt3]</v>
      </c>
      <c r="F34" s="311" t="str">
        <f>$A$12&amp;$B34&amp;$C$33</f>
        <v>AuswDipl0[DrGe_Res2]</v>
      </c>
      <c r="M34" s="319"/>
      <c r="N34" s="342" t="str">
        <f ca="1">INDEX(INDIRECT($D$34),MATCH($K$12,INDIRECT($C$12),0))</f>
        <v>Drittes Gerät</v>
      </c>
      <c r="O34" s="344" t="str">
        <f ca="1">INDEX(INDIRECT($E$34),MATCH($K$12,INDIRECT($C$12),0))</f>
        <v>nicht durchgeführt</v>
      </c>
      <c r="P34" s="344"/>
      <c r="Q34" s="344" t="str">
        <f ca="1">INDEX(INDIRECT($F$34),MATCH($K$12,INDIRECT($C$12),0))</f>
        <v/>
      </c>
      <c r="R34" s="320"/>
      <c r="S34" s="321"/>
    </row>
    <row r="35" spans="1:20" ht="15.6" customHeight="1" x14ac:dyDescent="0.3">
      <c r="B35" s="310" t="str">
        <f>"["&amp;Stammdaten!$Q$17</f>
        <v>[Parkour</v>
      </c>
      <c r="D35" s="311" t="str">
        <f>$A$12&amp;$B35&amp;$C$31</f>
        <v>AuswDipl0[Parkour_Txt1]</v>
      </c>
      <c r="E35" s="311" t="str">
        <f>$A$12&amp;$B$35&amp;"Pkte1]"</f>
        <v>AuswDipl0[ParkourPkte1]</v>
      </c>
      <c r="F35" s="311" t="str">
        <f>$A$12&amp;$B$35&amp;"Pkte2]"</f>
        <v>AuswDipl0[ParkourPkte2]</v>
      </c>
      <c r="M35" s="319"/>
      <c r="N35" s="342" t="str">
        <f ca="1">INDEX(INDIRECT($D$35),MATCH($K$12,INDIRECT($C$12),0))</f>
        <v>Parkour</v>
      </c>
      <c r="O35" s="344" t="str">
        <f ca="1">INDEX(INDIRECT($F$35),MATCH($K$12,INDIRECT($C$12),0))</f>
        <v>nicht durchgeführt</v>
      </c>
      <c r="P35" s="344"/>
      <c r="Q35" s="344" t="str">
        <f ca="1">INDEX(INDIRECT($E$35),MATCH($K$12,INDIRECT($C$12),0))</f>
        <v/>
      </c>
      <c r="R35" s="320"/>
      <c r="S35" s="321"/>
      <c r="T35" s="18"/>
    </row>
    <row r="36" spans="1:20" ht="3" customHeight="1" x14ac:dyDescent="0.25">
      <c r="M36" s="319"/>
      <c r="N36" s="342"/>
      <c r="O36" s="344"/>
      <c r="P36" s="344"/>
      <c r="Q36" s="344"/>
      <c r="R36" s="320"/>
      <c r="S36" s="321"/>
    </row>
    <row r="37" spans="1:20" ht="15.6" customHeight="1" x14ac:dyDescent="0.25">
      <c r="M37" s="319"/>
      <c r="N37" s="320"/>
      <c r="O37" s="320"/>
      <c r="P37" s="320"/>
      <c r="Q37" s="320"/>
      <c r="R37" s="320"/>
      <c r="S37" s="321"/>
    </row>
    <row r="38" spans="1:20" ht="4.05" customHeight="1" x14ac:dyDescent="0.25">
      <c r="A38" s="307"/>
      <c r="G38" s="307"/>
      <c r="H38" s="307"/>
      <c r="M38" s="319"/>
      <c r="N38" s="340"/>
      <c r="O38" s="340"/>
      <c r="P38" s="340"/>
      <c r="Q38" s="340"/>
      <c r="R38" s="303"/>
      <c r="S38" s="321"/>
    </row>
    <row r="39" spans="1:20" ht="15.6" customHeight="1" x14ac:dyDescent="0.3">
      <c r="A39" s="310" t="s">
        <v>352</v>
      </c>
      <c r="G39" s="311" t="str">
        <f>$A$12&amp;$A39&amp;$B$19</f>
        <v>AuswDipl0[BS_3_Pos]</v>
      </c>
      <c r="H39" s="312">
        <f ca="1">INDEX(INDIRECT($G$39),MATCH($K$12,INDIRECT($C$12),0))</f>
        <v>6</v>
      </c>
      <c r="M39" s="319"/>
      <c r="N39" s="341" t="str">
        <f>Stammdaten!AN4</f>
        <v>BS.3   Darstellen und Tanzen</v>
      </c>
      <c r="O39" s="320"/>
      <c r="P39" s="320"/>
      <c r="Q39" s="320"/>
      <c r="R39" s="303"/>
      <c r="S39" s="321"/>
    </row>
    <row r="40" spans="1:20" ht="3" customHeight="1" x14ac:dyDescent="0.3">
      <c r="M40" s="319"/>
      <c r="N40" s="341"/>
      <c r="O40" s="320"/>
      <c r="P40" s="320"/>
      <c r="Q40" s="320"/>
      <c r="R40" s="303"/>
      <c r="S40" s="321"/>
    </row>
    <row r="41" spans="1:20" ht="15.6" customHeight="1" x14ac:dyDescent="0.25">
      <c r="C41" s="311" t="s">
        <v>554</v>
      </c>
      <c r="H41" s="311">
        <f ca="1">IF(OR(O42=$A$1,O42=$B$1),1,"")</f>
        <v>1</v>
      </c>
      <c r="I41" s="311"/>
      <c r="M41" s="319"/>
      <c r="N41" s="303"/>
      <c r="O41" s="303"/>
      <c r="P41" s="303"/>
      <c r="Q41" s="357" t="str">
        <f>$Q$21</f>
        <v>Erreichter Wert</v>
      </c>
      <c r="R41" s="320"/>
      <c r="S41" s="321"/>
    </row>
    <row r="42" spans="1:20" ht="15.6" customHeight="1" x14ac:dyDescent="0.3">
      <c r="C42" s="311" t="s">
        <v>555</v>
      </c>
      <c r="D42" s="311" t="str">
        <f>$A$12&amp;$A$39&amp;$C$41</f>
        <v>AuswDipl0[BS_3_Txt0]</v>
      </c>
      <c r="E42" s="311" t="str">
        <f>$A$12&amp;$A$39&amp;$C$42</f>
        <v>AuswDipl0[BS_3_Txt2]</v>
      </c>
      <c r="F42" s="311" t="str">
        <f>$A$12&amp;$A$39&amp;"Pkte1]"</f>
        <v>AuswDipl0[BS_3_Pkte1]</v>
      </c>
      <c r="J42" s="18"/>
      <c r="M42" s="319"/>
      <c r="N42" s="342" t="str">
        <f ca="1">INDEX(INDIRECT($D$42),MATCH($K$12,INDIRECT($C$12),0))</f>
        <v>Darstellen und Tanzen</v>
      </c>
      <c r="O42" s="344" t="str">
        <f ca="1">INDEX(INDIRECT($E$42),MATCH($K$12,INDIRECT($C$12),0))</f>
        <v>nicht durchgeführt</v>
      </c>
      <c r="P42" s="344"/>
      <c r="Q42" s="344" t="str">
        <f ca="1">INDEX(INDIRECT($F$42),MATCH($K$12,INDIRECT($C$12),0))</f>
        <v/>
      </c>
      <c r="R42" s="320"/>
      <c r="S42" s="321"/>
    </row>
    <row r="43" spans="1:20" ht="15.6" customHeight="1" x14ac:dyDescent="0.3">
      <c r="J43" s="18"/>
      <c r="M43" s="319"/>
      <c r="N43" s="342"/>
      <c r="O43" s="344"/>
      <c r="P43" s="344"/>
      <c r="Q43" s="344"/>
      <c r="R43" s="320"/>
      <c r="S43" s="321"/>
    </row>
    <row r="44" spans="1:20" ht="15.6" customHeight="1" x14ac:dyDescent="0.3">
      <c r="J44" s="18"/>
      <c r="M44" s="319"/>
      <c r="N44" s="342"/>
      <c r="O44" s="344"/>
      <c r="P44" s="344"/>
      <c r="Q44" s="344"/>
      <c r="R44" s="320"/>
      <c r="S44" s="321"/>
    </row>
    <row r="45" spans="1:20" ht="15.6" customHeight="1" x14ac:dyDescent="0.3">
      <c r="J45" s="18"/>
      <c r="M45" s="319"/>
      <c r="N45" s="342"/>
      <c r="O45" s="344"/>
      <c r="P45" s="344"/>
      <c r="Q45" s="344"/>
      <c r="R45" s="320"/>
      <c r="S45" s="321"/>
    </row>
    <row r="46" spans="1:20" ht="3" customHeight="1" x14ac:dyDescent="0.25">
      <c r="K46" s="345"/>
      <c r="L46" s="345"/>
      <c r="M46" s="346"/>
      <c r="N46" s="342"/>
      <c r="O46" s="344"/>
      <c r="P46" s="344"/>
      <c r="Q46" s="344"/>
      <c r="R46" s="320"/>
      <c r="S46" s="321"/>
    </row>
    <row r="47" spans="1:20" ht="15.6" customHeight="1" x14ac:dyDescent="0.25">
      <c r="M47" s="319"/>
      <c r="N47" s="320"/>
      <c r="O47" s="320"/>
      <c r="P47" s="320"/>
      <c r="Q47" s="320"/>
      <c r="R47" s="320"/>
      <c r="S47" s="321"/>
    </row>
    <row r="48" spans="1:20" ht="4.05" customHeight="1" x14ac:dyDescent="0.25">
      <c r="A48" s="307"/>
      <c r="G48" s="307"/>
      <c r="H48" s="307"/>
      <c r="M48" s="319"/>
      <c r="N48" s="340"/>
      <c r="O48" s="340"/>
      <c r="P48" s="340"/>
      <c r="Q48" s="340"/>
      <c r="R48" s="303"/>
      <c r="S48" s="321"/>
    </row>
    <row r="49" spans="1:23" ht="15.6" customHeight="1" x14ac:dyDescent="0.3">
      <c r="A49" s="310" t="s">
        <v>367</v>
      </c>
      <c r="G49" s="311" t="str">
        <f>$A$12&amp;$A49&amp;$B$19</f>
        <v>AuswDipl0[BS_4_Pos]</v>
      </c>
      <c r="H49" s="312">
        <f ca="1">INDEX(INDIRECT($G$49),MATCH($K$12,INDIRECT($C$12),0))</f>
        <v>6</v>
      </c>
      <c r="M49" s="319"/>
      <c r="N49" s="341" t="str">
        <f>Stammdaten!AN5</f>
        <v>BS.4   Spielen</v>
      </c>
      <c r="O49" s="320"/>
      <c r="P49" s="320"/>
      <c r="Q49" s="320"/>
      <c r="R49" s="303"/>
      <c r="S49" s="321"/>
    </row>
    <row r="50" spans="1:23" ht="3" customHeight="1" x14ac:dyDescent="0.3">
      <c r="M50" s="319"/>
      <c r="N50" s="341"/>
      <c r="O50" s="320"/>
      <c r="P50" s="320"/>
      <c r="Q50" s="320"/>
      <c r="R50" s="303"/>
      <c r="S50" s="321"/>
    </row>
    <row r="51" spans="1:23" ht="15.6" customHeight="1" x14ac:dyDescent="0.3">
      <c r="C51" s="311" t="str">
        <f>$C$31</f>
        <v>_Txt1]</v>
      </c>
      <c r="H51" s="311">
        <f ca="1">IF(AND(OR(O52=$A$1,O52=$B$1),OR(O53=$A$1,O53=$B$1),OR(O54=$A$1,O54=$B$1)),1,"")</f>
        <v>1</v>
      </c>
      <c r="I51" s="311"/>
      <c r="M51" s="319"/>
      <c r="N51" s="303"/>
      <c r="O51" s="303"/>
      <c r="P51" s="303"/>
      <c r="Q51" s="357" t="str">
        <f>$Q$21</f>
        <v>Erreichter Wert</v>
      </c>
      <c r="R51" s="320"/>
      <c r="S51" s="321"/>
      <c r="T51" s="18"/>
      <c r="U51" s="18"/>
    </row>
    <row r="52" spans="1:23" ht="15.6" customHeight="1" x14ac:dyDescent="0.3">
      <c r="B52" s="310" t="s">
        <v>495</v>
      </c>
      <c r="C52" s="311" t="str">
        <f>$C$32</f>
        <v>_Txt3]</v>
      </c>
      <c r="D52" s="311" t="str">
        <f>$A$12&amp;$B52&amp;$C$51</f>
        <v>AuswDipl0[ErSp_Txt1]</v>
      </c>
      <c r="E52" s="311" t="str">
        <f>$A$12&amp;$B52&amp;$C$52</f>
        <v>AuswDipl0[ErSp_Txt3]</v>
      </c>
      <c r="F52" s="311" t="str">
        <f>$A$12&amp;$B52&amp;$C$53</f>
        <v>AuswDipl0[ErSp_Res2]</v>
      </c>
      <c r="J52" s="18"/>
      <c r="M52" s="319"/>
      <c r="N52" s="342" t="str">
        <f ca="1">INDEX(INDIRECT($D$52),MATCH($K$12,INDIRECT($C$12),0))</f>
        <v>Erste Spielsportart</v>
      </c>
      <c r="O52" s="344" t="str">
        <f ca="1">INDEX(INDIRECT($E$52),MATCH($K$12,INDIRECT($C$12),0))</f>
        <v>nicht durchgeführt</v>
      </c>
      <c r="P52" s="344"/>
      <c r="Q52" s="344" t="str">
        <f ca="1">INDEX(INDIRECT($F$52),MATCH($K$12,INDIRECT($C$12),0))</f>
        <v/>
      </c>
      <c r="R52" s="320"/>
      <c r="S52" s="321"/>
    </row>
    <row r="53" spans="1:23" ht="15.6" customHeight="1" x14ac:dyDescent="0.3">
      <c r="B53" s="310" t="s">
        <v>496</v>
      </c>
      <c r="C53" s="311" t="str">
        <f>$C$33</f>
        <v>_Res2]</v>
      </c>
      <c r="D53" s="311" t="str">
        <f>$A$12&amp;$B53&amp;$C$51</f>
        <v>AuswDipl0[ZwSp_Txt1]</v>
      </c>
      <c r="E53" s="311" t="str">
        <f>$A$12&amp;$B53&amp;$C$52</f>
        <v>AuswDipl0[ZwSp_Txt3]</v>
      </c>
      <c r="F53" s="311" t="str">
        <f>$A$12&amp;$B53&amp;$C$53</f>
        <v>AuswDipl0[ZwSp_Res2]</v>
      </c>
      <c r="J53" s="18"/>
      <c r="M53" s="319"/>
      <c r="N53" s="342" t="str">
        <f ca="1">INDEX(INDIRECT($D$53),MATCH($K$12,INDIRECT($C$12),0))</f>
        <v>Zweite Spielsportart</v>
      </c>
      <c r="O53" s="344" t="str">
        <f ca="1">INDEX(INDIRECT($E$53),MATCH($K$12,INDIRECT($C$12),0))</f>
        <v>nicht durchgeführt</v>
      </c>
      <c r="P53" s="344"/>
      <c r="Q53" s="344" t="str">
        <f ca="1">INDEX(INDIRECT($F$53),MATCH($K$12,INDIRECT($C$12),0))</f>
        <v/>
      </c>
      <c r="R53" s="320"/>
      <c r="S53" s="321"/>
    </row>
    <row r="54" spans="1:23" ht="15.6" customHeight="1" x14ac:dyDescent="0.3">
      <c r="B54" s="310" t="s">
        <v>497</v>
      </c>
      <c r="C54" s="311" t="s">
        <v>501</v>
      </c>
      <c r="D54" s="311" t="str">
        <f>$A$12&amp;$B54&amp;$C$51</f>
        <v>AuswDipl0[DrSp_Txt1]</v>
      </c>
      <c r="E54" s="311" t="str">
        <f>$A$12&amp;$B54&amp;$C$52</f>
        <v>AuswDipl0[DrSp_Txt3]</v>
      </c>
      <c r="F54" s="311" t="str">
        <f>$A$12&amp;$B54&amp;$C$53</f>
        <v>AuswDipl0[DrSp_Res2]</v>
      </c>
      <c r="J54" s="18"/>
      <c r="M54" s="319"/>
      <c r="N54" s="342" t="str">
        <f ca="1">INDEX(INDIRECT($D$54),MATCH($K$12,INDIRECT($C$12),0))</f>
        <v>Dritte Spielsportart</v>
      </c>
      <c r="O54" s="344" t="str">
        <f ca="1">INDEX(INDIRECT($E$54),MATCH($K$12,INDIRECT($C$12),0))</f>
        <v>nicht durchgeführt</v>
      </c>
      <c r="P54" s="344"/>
      <c r="Q54" s="344" t="str">
        <f ca="1">INDEX(INDIRECT($F$54),MATCH($K$12,INDIRECT($C$12),0))</f>
        <v/>
      </c>
      <c r="R54" s="320"/>
      <c r="S54" s="321"/>
    </row>
    <row r="55" spans="1:23" ht="15.6" customHeight="1" x14ac:dyDescent="0.3">
      <c r="J55" s="18"/>
      <c r="M55" s="319"/>
      <c r="N55" s="342"/>
      <c r="O55" s="344"/>
      <c r="P55" s="344"/>
      <c r="Q55" s="344"/>
      <c r="R55" s="320"/>
      <c r="S55" s="321"/>
    </row>
    <row r="56" spans="1:23" ht="15.6" customHeight="1" x14ac:dyDescent="0.25">
      <c r="C56" s="311" t="str">
        <f>$C$34</f>
        <v>_Höchst]</v>
      </c>
      <c r="M56" s="319"/>
      <c r="N56" s="320"/>
      <c r="O56" s="320"/>
      <c r="P56" s="320"/>
      <c r="Q56" s="320"/>
      <c r="R56" s="320"/>
      <c r="S56" s="321"/>
    </row>
    <row r="57" spans="1:23" ht="15.6" customHeight="1" x14ac:dyDescent="0.25">
      <c r="M57" s="319"/>
      <c r="N57" s="320"/>
      <c r="O57" s="320"/>
      <c r="P57" s="320"/>
      <c r="Q57" s="320"/>
      <c r="R57" s="320"/>
      <c r="S57" s="321"/>
    </row>
    <row r="58" spans="1:23" ht="22.2" x14ac:dyDescent="0.35">
      <c r="M58" s="319"/>
      <c r="N58" s="339" t="s">
        <v>540</v>
      </c>
      <c r="O58" s="320"/>
      <c r="P58" s="320"/>
      <c r="Q58" s="320"/>
      <c r="R58" s="320"/>
      <c r="S58" s="321"/>
    </row>
    <row r="59" spans="1:23" ht="15.6" customHeight="1" x14ac:dyDescent="0.25">
      <c r="J59" s="572" t="s">
        <v>568</v>
      </c>
      <c r="M59" s="319"/>
      <c r="N59" s="320"/>
      <c r="O59" s="320"/>
      <c r="P59" s="320"/>
      <c r="Q59" s="320"/>
      <c r="R59" s="320"/>
      <c r="S59" s="321"/>
    </row>
    <row r="60" spans="1:23" ht="15.6" customHeight="1" x14ac:dyDescent="0.3">
      <c r="A60" s="310" t="s">
        <v>368</v>
      </c>
      <c r="B60" s="310" t="str">
        <f>$A$60&amp;"[Beurteilung]"</f>
        <v>Form_Beurt[Beurteilung]</v>
      </c>
      <c r="C60" s="310" t="str">
        <f>$A$60&amp;"[Position]"</f>
        <v>Form_Beurt[Position]</v>
      </c>
      <c r="D60" s="326"/>
      <c r="E60" s="326"/>
      <c r="F60" s="310"/>
      <c r="G60" s="310"/>
      <c r="H60" s="327">
        <f ca="1">INDEX(INDIRECT($C$60),MATCH($N$60,INDIRECT($B$60),0))</f>
        <v>2</v>
      </c>
      <c r="I60" s="327"/>
      <c r="J60" s="572"/>
      <c r="K60" s="329"/>
      <c r="L60" s="329"/>
      <c r="M60" s="330"/>
      <c r="N60" s="301" t="s">
        <v>286</v>
      </c>
      <c r="O60" s="320"/>
      <c r="P60" s="320"/>
      <c r="Q60" s="320"/>
      <c r="R60" s="33"/>
      <c r="S60" s="321"/>
      <c r="T60" s="18"/>
      <c r="U60" s="18"/>
      <c r="V60" s="18"/>
      <c r="W60" s="18"/>
    </row>
    <row r="61" spans="1:23" ht="15.6" customHeight="1" x14ac:dyDescent="0.25">
      <c r="C61" s="326"/>
      <c r="D61" s="326"/>
      <c r="E61" s="326"/>
      <c r="F61" s="326"/>
      <c r="G61" s="326"/>
      <c r="H61" s="347"/>
      <c r="I61" s="347"/>
      <c r="J61" s="359"/>
      <c r="K61" s="329"/>
      <c r="L61" s="329"/>
      <c r="M61" s="330"/>
      <c r="N61" s="320"/>
      <c r="O61" s="320"/>
      <c r="P61" s="320"/>
      <c r="Q61" s="320"/>
      <c r="R61" s="320"/>
      <c r="S61" s="321"/>
    </row>
    <row r="62" spans="1:23" ht="17.399999999999999" customHeight="1" x14ac:dyDescent="0.3">
      <c r="J62" s="577" t="s">
        <v>569</v>
      </c>
      <c r="M62" s="319"/>
      <c r="N62" s="341" t="s">
        <v>279</v>
      </c>
      <c r="O62" s="320"/>
      <c r="P62" s="320"/>
      <c r="Q62" s="320"/>
      <c r="R62" s="320"/>
      <c r="S62" s="321"/>
    </row>
    <row r="63" spans="1:23" ht="15.6" customHeight="1" x14ac:dyDescent="0.3">
      <c r="J63" s="577"/>
      <c r="M63" s="319"/>
      <c r="N63" s="575"/>
      <c r="O63" s="575"/>
      <c r="P63" s="575"/>
      <c r="Q63" s="575"/>
      <c r="R63" s="348"/>
      <c r="S63" s="321"/>
      <c r="T63" s="18"/>
      <c r="W63" s="18"/>
    </row>
    <row r="64" spans="1:23" ht="15.6" customHeight="1" x14ac:dyDescent="0.25">
      <c r="J64" s="577"/>
      <c r="M64" s="319"/>
      <c r="N64" s="575"/>
      <c r="O64" s="575"/>
      <c r="P64" s="575"/>
      <c r="Q64" s="575"/>
      <c r="R64" s="348"/>
      <c r="S64" s="321"/>
    </row>
    <row r="65" spans="10:20" ht="15.6" customHeight="1" x14ac:dyDescent="0.3">
      <c r="J65" s="577"/>
      <c r="M65" s="319"/>
      <c r="N65" s="576"/>
      <c r="O65" s="576"/>
      <c r="P65" s="576"/>
      <c r="Q65" s="576"/>
      <c r="R65" s="348"/>
      <c r="S65" s="321"/>
      <c r="T65" s="18"/>
    </row>
    <row r="66" spans="10:20" ht="15.6" customHeight="1" x14ac:dyDescent="0.3">
      <c r="J66" s="577"/>
      <c r="M66" s="319"/>
      <c r="N66" s="349"/>
      <c r="O66" s="349"/>
      <c r="P66" s="349"/>
      <c r="Q66" s="349"/>
      <c r="R66" s="348"/>
      <c r="S66" s="321"/>
      <c r="T66" s="18"/>
    </row>
    <row r="67" spans="10:20" ht="3" customHeight="1" x14ac:dyDescent="0.3">
      <c r="J67" s="392"/>
      <c r="M67" s="319"/>
      <c r="N67" s="350"/>
      <c r="O67" s="350"/>
      <c r="P67" s="350"/>
      <c r="Q67" s="350"/>
      <c r="R67" s="350"/>
      <c r="S67" s="321"/>
      <c r="T67" s="18"/>
    </row>
    <row r="68" spans="10:20" ht="15.6" customHeight="1" x14ac:dyDescent="0.25">
      <c r="J68" s="570" t="s">
        <v>571</v>
      </c>
      <c r="M68" s="319"/>
      <c r="N68" s="351">
        <f ca="1">TODAY()</f>
        <v>44730</v>
      </c>
      <c r="O68" s="320"/>
      <c r="P68" s="320"/>
      <c r="Q68" s="320"/>
      <c r="R68" s="320"/>
      <c r="S68" s="321"/>
    </row>
    <row r="69" spans="10:20" ht="15.6" customHeight="1" x14ac:dyDescent="0.25">
      <c r="J69" s="570"/>
      <c r="M69" s="319"/>
      <c r="N69" s="348"/>
      <c r="O69" s="348"/>
      <c r="P69" s="320"/>
      <c r="Q69" s="320"/>
      <c r="R69" s="320"/>
      <c r="S69" s="321"/>
    </row>
    <row r="70" spans="10:20" ht="15.6" customHeight="1" x14ac:dyDescent="0.25">
      <c r="J70" s="570"/>
      <c r="M70" s="319"/>
      <c r="N70" s="348"/>
      <c r="O70" s="348"/>
      <c r="P70" s="320"/>
      <c r="Q70" s="320"/>
      <c r="R70" s="320"/>
      <c r="S70" s="321"/>
    </row>
    <row r="71" spans="10:20" ht="15.6" customHeight="1" x14ac:dyDescent="0.3">
      <c r="J71" s="570"/>
      <c r="M71" s="319"/>
      <c r="N71" s="363"/>
      <c r="O71" s="363"/>
      <c r="P71" s="320"/>
      <c r="Q71" s="320"/>
      <c r="R71" s="320"/>
      <c r="S71" s="321"/>
      <c r="T71" s="18"/>
    </row>
    <row r="72" spans="10:20" ht="7.2" customHeight="1" x14ac:dyDescent="0.3">
      <c r="J72" s="570"/>
      <c r="M72" s="319"/>
      <c r="N72" s="320"/>
      <c r="O72" s="320"/>
      <c r="P72" s="320"/>
      <c r="Q72" s="320"/>
      <c r="R72" s="320"/>
      <c r="S72" s="321"/>
      <c r="T72" s="18"/>
    </row>
    <row r="73" spans="10:20" ht="15.6" customHeight="1" x14ac:dyDescent="0.3">
      <c r="J73" s="570"/>
      <c r="M73" s="319"/>
      <c r="N73" s="303" t="str">
        <f>Resultatmappe!E10&amp;" "&amp;Resultatmappe!C10</f>
        <v xml:space="preserve"> </v>
      </c>
      <c r="O73" s="320"/>
      <c r="P73" s="320"/>
      <c r="Q73" s="320"/>
      <c r="R73" s="352" t="str">
        <f>MID(Resultatmappe!B49,10,3)</f>
        <v>3.1</v>
      </c>
      <c r="S73" s="321"/>
      <c r="T73" s="18"/>
    </row>
    <row r="74" spans="10:20" ht="15.6" customHeight="1" thickBot="1" x14ac:dyDescent="0.35">
      <c r="J74" s="570"/>
      <c r="M74" s="353"/>
      <c r="N74" s="354"/>
      <c r="O74" s="354"/>
      <c r="P74" s="354"/>
      <c r="Q74" s="354"/>
      <c r="R74" s="354"/>
      <c r="S74" s="355"/>
      <c r="T74" s="18"/>
    </row>
    <row r="75" spans="10:20" ht="6.6" customHeight="1" thickTop="1" x14ac:dyDescent="0.25">
      <c r="J75" s="570"/>
    </row>
    <row r="76" spans="10:20" ht="60.6" customHeight="1" x14ac:dyDescent="0.25">
      <c r="J76" s="570"/>
      <c r="N76" s="361" t="s">
        <v>566</v>
      </c>
      <c r="Q76" s="570" t="s">
        <v>565</v>
      </c>
      <c r="R76" s="570"/>
    </row>
    <row r="77" spans="10:20" ht="15.6" customHeight="1" x14ac:dyDescent="0.25">
      <c r="J77" s="361"/>
      <c r="N77" s="361"/>
      <c r="Q77" s="361"/>
      <c r="R77" s="361"/>
    </row>
    <row r="78" spans="10:20" hidden="1" x14ac:dyDescent="0.25">
      <c r="N78" s="356"/>
    </row>
    <row r="79" spans="10:20" hidden="1" x14ac:dyDescent="0.25">
      <c r="N79" s="356"/>
    </row>
    <row r="80" spans="10:20" hidden="1" x14ac:dyDescent="0.25">
      <c r="N80" s="356"/>
    </row>
    <row r="81" spans="14:14" hidden="1" x14ac:dyDescent="0.25">
      <c r="N81" s="356"/>
    </row>
  </sheetData>
  <sheetProtection password="CC22" sheet="1" objects="1" scenarios="1" selectLockedCells="1"/>
  <mergeCells count="15">
    <mergeCell ref="J1:J2"/>
    <mergeCell ref="J68:J76"/>
    <mergeCell ref="Q76:R76"/>
    <mergeCell ref="J12:J15"/>
    <mergeCell ref="J59:J60"/>
    <mergeCell ref="N9:O9"/>
    <mergeCell ref="N3:O3"/>
    <mergeCell ref="N63:Q65"/>
    <mergeCell ref="J62:J66"/>
    <mergeCell ref="P12:R12"/>
    <mergeCell ref="N12:O12"/>
    <mergeCell ref="N7:R7"/>
    <mergeCell ref="N4:O4"/>
    <mergeCell ref="P9:Q9"/>
    <mergeCell ref="J3:J7"/>
  </mergeCells>
  <conditionalFormatting sqref="Q21">
    <cfRule type="expression" dxfId="911" priority="14">
      <formula>IF($H$21=1,1)</formula>
    </cfRule>
  </conditionalFormatting>
  <conditionalFormatting sqref="N3:N4">
    <cfRule type="expression" dxfId="910" priority="1">
      <formula>IF($H$2=2,1)</formula>
    </cfRule>
  </conditionalFormatting>
  <conditionalFormatting sqref="Q31">
    <cfRule type="expression" dxfId="909" priority="15">
      <formula>IF($H$31=1,1)</formula>
    </cfRule>
  </conditionalFormatting>
  <conditionalFormatting sqref="Q41">
    <cfRule type="expression" dxfId="908" priority="17">
      <formula>IF($H$41=1,1)</formula>
    </cfRule>
  </conditionalFormatting>
  <conditionalFormatting sqref="Q51">
    <cfRule type="expression" dxfId="907" priority="668">
      <formula>IF($H$51=1,1)</formula>
    </cfRule>
  </conditionalFormatting>
  <conditionalFormatting sqref="N22:N25 N32:N35 N42:N45 N52:N55">
    <cfRule type="expression" dxfId="906" priority="12">
      <formula>IF($O22=$B$1,1)</formula>
    </cfRule>
  </conditionalFormatting>
  <conditionalFormatting sqref="O22:O25 O32:O35 O42:O45 O52:O55">
    <cfRule type="beginsWith" dxfId="905" priority="13" operator="beginsWith" text="max.">
      <formula>LEFT(O22,LEN("max."))="max."</formula>
    </cfRule>
  </conditionalFormatting>
  <dataValidations count="2">
    <dataValidation type="list" allowBlank="1" showInputMessage="1" showErrorMessage="1" sqref="N60">
      <formula1>INDIRECT($B$60)</formula1>
    </dataValidation>
    <dataValidation type="list" allowBlank="1" showInputMessage="1" showErrorMessage="1" sqref="P9:Q9">
      <formula1>INDIRECT($C$9)</formula1>
    </dataValidation>
  </dataValidations>
  <printOptions horizontalCentered="1" verticalCentered="1"/>
  <pageMargins left="0.39370078740157483" right="0.39370078740157483" top="0.19685039370078741" bottom="0.19685039370078741" header="0.19685039370078741" footer="0.19685039370078741"/>
  <pageSetup paperSize="9" scale="75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3D6FB39A-BAE6-418E-BA90-7026CF722ABC}">
            <xm:f>LEFT(O22,LEN($B$1))=$B$1</xm:f>
            <xm:f>$B$1</xm:f>
            <x14:dxf>
              <font>
                <color theme="0" tint="-0.24994659260841701"/>
              </font>
            </x14:dxf>
          </x14:cfRule>
          <xm:sqref>O22:O25 O32:O35 O42:O45 O52:O55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Resultatmappe!$A$19:$A$48</xm:f>
          </x14:formula1>
          <xm:sqref>K12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D57"/>
  <sheetViews>
    <sheetView zoomScale="85" zoomScaleNormal="85" workbookViewId="0">
      <selection activeCell="A37" sqref="A37"/>
    </sheetView>
  </sheetViews>
  <sheetFormatPr baseColWidth="10" defaultRowHeight="14.4" x14ac:dyDescent="0.3"/>
  <cols>
    <col min="1" max="1" width="16.44140625" customWidth="1"/>
    <col min="2" max="2" width="3.33203125" customWidth="1"/>
    <col min="3" max="3" width="9.44140625" bestFit="1" customWidth="1"/>
    <col min="4" max="4" width="3.33203125" customWidth="1"/>
    <col min="5" max="5" width="12.33203125" bestFit="1" customWidth="1"/>
    <col min="6" max="6" width="13" bestFit="1" customWidth="1"/>
    <col min="7" max="7" width="14.6640625" bestFit="1" customWidth="1"/>
    <col min="8" max="8" width="10.44140625" bestFit="1" customWidth="1"/>
    <col min="9" max="9" width="14" bestFit="1" customWidth="1"/>
    <col min="10" max="10" width="3.33203125" customWidth="1"/>
    <col min="11" max="11" width="4.6640625" customWidth="1"/>
    <col min="12" max="12" width="7.5546875" style="3" customWidth="1"/>
    <col min="13" max="13" width="6.6640625" style="3" bestFit="1" customWidth="1"/>
    <col min="14" max="14" width="18" style="3" bestFit="1" customWidth="1"/>
    <col min="15" max="15" width="10.88671875" style="3" customWidth="1"/>
    <col min="16" max="16" width="12.6640625" style="3" bestFit="1" customWidth="1"/>
    <col min="17" max="17" width="20.6640625" bestFit="1" customWidth="1"/>
    <col min="18" max="18" width="24.33203125" bestFit="1" customWidth="1"/>
    <col min="19" max="19" width="31.6640625" bestFit="1" customWidth="1"/>
    <col min="20" max="20" width="28.6640625" bestFit="1" customWidth="1"/>
    <col min="21" max="22" width="28.6640625" customWidth="1"/>
    <col min="23" max="23" width="40.109375" bestFit="1" customWidth="1"/>
    <col min="24" max="25" width="24.6640625" customWidth="1"/>
    <col min="26" max="26" width="17.44140625" bestFit="1" customWidth="1"/>
    <col min="27" max="27" width="11.109375" bestFit="1" customWidth="1"/>
    <col min="28" max="29" width="11.109375" customWidth="1"/>
    <col min="30" max="30" width="14.5546875" bestFit="1" customWidth="1"/>
    <col min="31" max="31" width="15.33203125" bestFit="1" customWidth="1"/>
    <col min="32" max="32" width="11.6640625" bestFit="1" customWidth="1"/>
    <col min="33" max="33" width="11.6640625" customWidth="1"/>
    <col min="34" max="35" width="23.6640625" bestFit="1" customWidth="1"/>
    <col min="36" max="36" width="9.6640625" bestFit="1" customWidth="1"/>
    <col min="37" max="37" width="1.109375" customWidth="1"/>
    <col min="38" max="38" width="14.33203125" bestFit="1" customWidth="1"/>
    <col min="39" max="39" width="23.6640625" bestFit="1" customWidth="1"/>
    <col min="40" max="40" width="26.6640625" bestFit="1" customWidth="1"/>
    <col min="41" max="41" width="29.109375" bestFit="1" customWidth="1"/>
    <col min="42" max="42" width="1.109375" style="10" customWidth="1"/>
    <col min="43" max="43" width="26.6640625" style="10" customWidth="1"/>
    <col min="44" max="44" width="3.33203125" customWidth="1"/>
    <col min="45" max="45" width="24.6640625" bestFit="1" customWidth="1"/>
    <col min="46" max="46" width="15.109375" customWidth="1"/>
    <col min="47" max="47" width="1.109375" customWidth="1"/>
    <col min="48" max="48" width="15.44140625" customWidth="1"/>
    <col min="49" max="49" width="1.109375" customWidth="1"/>
    <col min="50" max="50" width="29.6640625" bestFit="1" customWidth="1"/>
    <col min="51" max="51" width="3.33203125" customWidth="1"/>
    <col min="52" max="52" width="15.33203125" bestFit="1" customWidth="1"/>
    <col min="54" max="54" width="17.109375" bestFit="1" customWidth="1"/>
    <col min="55" max="55" width="3.44140625" customWidth="1"/>
    <col min="56" max="56" width="40.109375" bestFit="1" customWidth="1"/>
    <col min="57" max="57" width="3.44140625" customWidth="1"/>
  </cols>
  <sheetData>
    <row r="1" spans="1:56" x14ac:dyDescent="0.3">
      <c r="A1" s="179" t="s">
        <v>33</v>
      </c>
      <c r="C1" t="s">
        <v>40</v>
      </c>
      <c r="E1" s="69" t="s">
        <v>117</v>
      </c>
      <c r="F1" s="69" t="s">
        <v>118</v>
      </c>
      <c r="G1" s="180" t="s">
        <v>120</v>
      </c>
      <c r="H1" s="69" t="s">
        <v>36</v>
      </c>
      <c r="I1" s="69" t="s">
        <v>123</v>
      </c>
      <c r="K1" t="s">
        <v>91</v>
      </c>
      <c r="L1" s="3" t="s">
        <v>65</v>
      </c>
      <c r="M1" s="3" t="s">
        <v>77</v>
      </c>
      <c r="N1" s="3" t="s">
        <v>54</v>
      </c>
      <c r="O1" s="3" t="s">
        <v>78</v>
      </c>
      <c r="P1" s="3" t="s">
        <v>60</v>
      </c>
      <c r="Q1" t="s">
        <v>42</v>
      </c>
      <c r="R1" t="s">
        <v>80</v>
      </c>
      <c r="S1" t="s">
        <v>141</v>
      </c>
      <c r="T1" t="s">
        <v>142</v>
      </c>
      <c r="U1" t="s">
        <v>143</v>
      </c>
      <c r="V1" t="s">
        <v>177</v>
      </c>
      <c r="W1" t="s">
        <v>150</v>
      </c>
      <c r="X1" t="s">
        <v>38</v>
      </c>
      <c r="Y1" t="s">
        <v>324</v>
      </c>
      <c r="Z1" t="s">
        <v>140</v>
      </c>
      <c r="AA1" t="s">
        <v>85</v>
      </c>
      <c r="AB1" t="s">
        <v>185</v>
      </c>
      <c r="AC1" t="s">
        <v>184</v>
      </c>
      <c r="AD1" t="s">
        <v>165</v>
      </c>
      <c r="AE1" t="s">
        <v>178</v>
      </c>
      <c r="AF1" t="s">
        <v>180</v>
      </c>
      <c r="AG1" t="s">
        <v>560</v>
      </c>
      <c r="AH1" t="s">
        <v>561</v>
      </c>
      <c r="AI1" t="s">
        <v>562</v>
      </c>
      <c r="AJ1" t="s">
        <v>347</v>
      </c>
      <c r="AL1" t="s">
        <v>63</v>
      </c>
      <c r="AM1" t="s">
        <v>43</v>
      </c>
      <c r="AN1" t="s">
        <v>138</v>
      </c>
      <c r="AO1" t="s">
        <v>168</v>
      </c>
      <c r="AQ1" s="10" t="s">
        <v>55</v>
      </c>
      <c r="AS1" t="s">
        <v>41</v>
      </c>
      <c r="AT1" t="s">
        <v>46</v>
      </c>
      <c r="AV1" t="s">
        <v>45</v>
      </c>
      <c r="AX1" s="100" t="s">
        <v>48</v>
      </c>
      <c r="AZ1" t="s">
        <v>44</v>
      </c>
      <c r="BB1" t="s">
        <v>166</v>
      </c>
      <c r="BD1" t="s">
        <v>149</v>
      </c>
    </row>
    <row r="2" spans="1:56" x14ac:dyDescent="0.3">
      <c r="A2" s="179" t="s">
        <v>35</v>
      </c>
      <c r="C2" t="s">
        <v>30</v>
      </c>
      <c r="E2" s="61" t="s">
        <v>31</v>
      </c>
      <c r="F2" s="72">
        <v>1</v>
      </c>
      <c r="G2" s="13" t="str">
        <f>"_"&amp;MID(StdSkala[[#This Row],[Geschlecht]],1,1)&amp;MID(INDEX(StdJahr[StdJahrText],StdSkala[[#This Row],[Jahr]]),1,1)</f>
        <v>_M1</v>
      </c>
      <c r="H2" s="71" t="str">
        <f>MID(StdSkala[[#This Row],[Geschlecht]],1,1)&amp;StdSkala[[#This Row],[Jahr]]</f>
        <v>M1</v>
      </c>
      <c r="I2" s="71" t="str">
        <f>StdSkala[[#This Row],[Geschlecht]]&amp;" "&amp;StdSkala[[#This Row],[StdSkala]]</f>
        <v>Mädchen M1</v>
      </c>
      <c r="K2">
        <v>1</v>
      </c>
      <c r="L2" s="3" t="s">
        <v>513</v>
      </c>
      <c r="M2" s="3" t="s">
        <v>113</v>
      </c>
      <c r="N2" s="3" t="s">
        <v>57</v>
      </c>
      <c r="O2" s="3" t="s">
        <v>71</v>
      </c>
      <c r="P2" s="3" t="s">
        <v>20</v>
      </c>
      <c r="Q2" t="s">
        <v>23</v>
      </c>
      <c r="R2" t="s">
        <v>92</v>
      </c>
      <c r="S2" t="str">
        <f>StdDisziplinen[[#This Row],[StdTabÜberschrift]]&amp;"_XX"&amp;$AX$16</f>
        <v>SechzigmLauf_XX[Resultat]</v>
      </c>
      <c r="T2" t="str">
        <f>StdDisziplinen[[#This Row],[StdTabÜberschrift]]&amp;"_XX"&amp;$AX$18</f>
        <v>SechzigmLauf_XX[Note]</v>
      </c>
      <c r="U2" t="str">
        <f>StdDisziplinen[[#This Row],[StdTabÜberschrift]]&amp;$AS$14</f>
        <v>SechzigmLaufNote</v>
      </c>
      <c r="V2" t="str">
        <f>StdDisziplinen[[#This Row],[StdTabÜberschrift]]&amp;MID($AX$16,2,8)&amp;$AX$16</f>
        <v>SechzigmLaufResultat[Resultat]</v>
      </c>
      <c r="W2" t="s">
        <v>144</v>
      </c>
      <c r="X2" t="s">
        <v>32</v>
      </c>
      <c r="Y2" t="s">
        <v>32</v>
      </c>
      <c r="Z2" t="str">
        <f>IFERROR(INDEX(StdBewertungen[Anzeigetext],MATCH(StdDisziplinen[[#This Row],[Bewertung]],StdBewertungen[StdBewertung],0)),"")</f>
        <v>Zeit</v>
      </c>
      <c r="AA2" t="s">
        <v>7</v>
      </c>
      <c r="AD2" s="19">
        <v>-1</v>
      </c>
      <c r="AE2" s="19">
        <v>1</v>
      </c>
      <c r="AF2" s="19">
        <v>2</v>
      </c>
      <c r="AG2" s="19">
        <v>0</v>
      </c>
      <c r="AH2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" s="19"/>
      <c r="AL2" s="3" t="s">
        <v>513</v>
      </c>
      <c r="AM2" t="s">
        <v>64</v>
      </c>
      <c r="AN2" t="str">
        <f>StdBS[[#This Row],[StdNummer]]&amp;"   "&amp;StdBS[[#This Row],[StdBS]]</f>
        <v>BS.1   Laufen, Springen, Werfen</v>
      </c>
      <c r="AO2">
        <v>4</v>
      </c>
      <c r="AQ2" s="10" t="s">
        <v>57</v>
      </c>
      <c r="AS2" t="s">
        <v>52</v>
      </c>
      <c r="AT2" t="s">
        <v>105</v>
      </c>
      <c r="AV2" t="s">
        <v>105</v>
      </c>
      <c r="AX2" t="s">
        <v>45</v>
      </c>
      <c r="AZ2" t="s">
        <v>102</v>
      </c>
      <c r="BB2">
        <v>1</v>
      </c>
      <c r="BD2" t="s">
        <v>144</v>
      </c>
    </row>
    <row r="3" spans="1:56" x14ac:dyDescent="0.3">
      <c r="A3" s="179" t="s">
        <v>34</v>
      </c>
      <c r="C3" t="s">
        <v>31</v>
      </c>
      <c r="E3" s="70" t="s">
        <v>31</v>
      </c>
      <c r="F3" s="73">
        <v>2</v>
      </c>
      <c r="G3" s="13" t="str">
        <f>"_"&amp;MID(StdSkala[[#This Row],[Geschlecht]],1,1)&amp;MID(INDEX(StdJahr[StdJahrText],StdSkala[[#This Row],[Jahr]]),1,1)</f>
        <v>_M2</v>
      </c>
      <c r="H3" s="11" t="str">
        <f>MID(StdSkala[[#This Row],[Geschlecht]],1,1)&amp;StdSkala[[#This Row],[Jahr]]</f>
        <v>M2</v>
      </c>
      <c r="I3" s="11" t="str">
        <f>StdSkala[[#This Row],[Geschlecht]]&amp;" "&amp;StdSkala[[#This Row],[StdSkala]]</f>
        <v>Mädchen M2</v>
      </c>
      <c r="K3">
        <f>K2+1</f>
        <v>2</v>
      </c>
      <c r="L3" s="3" t="s">
        <v>513</v>
      </c>
      <c r="M3" s="3" t="s">
        <v>113</v>
      </c>
      <c r="N3" s="3" t="s">
        <v>57</v>
      </c>
      <c r="O3" s="3" t="s">
        <v>71</v>
      </c>
      <c r="P3" s="3" t="s">
        <v>20</v>
      </c>
      <c r="Q3" t="s">
        <v>24</v>
      </c>
      <c r="R3" t="s">
        <v>93</v>
      </c>
      <c r="S3" t="str">
        <f>StdDisziplinen[[#This Row],[StdTabÜberschrift]]&amp;"_XX"&amp;$AX$16</f>
        <v>AchtzigmLauf_XX[Resultat]</v>
      </c>
      <c r="T3" t="str">
        <f>StdDisziplinen[[#This Row],[StdTabÜberschrift]]&amp;"_XX"&amp;$AX$18</f>
        <v>AchtzigmLauf_XX[Note]</v>
      </c>
      <c r="U3" t="str">
        <f>StdDisziplinen[[#This Row],[StdTabÜberschrift]]&amp;$AS$14</f>
        <v>AchtzigmLaufNote</v>
      </c>
      <c r="V3" t="str">
        <f>StdDisziplinen[[#This Row],[StdTabÜberschrift]]&amp;MID($AX$16,2,8)&amp;$AX$16</f>
        <v>AchtzigmLaufResultat[Resultat]</v>
      </c>
      <c r="W3" t="s">
        <v>144</v>
      </c>
      <c r="X3" t="s">
        <v>32</v>
      </c>
      <c r="Y3" t="s">
        <v>32</v>
      </c>
      <c r="Z3" t="str">
        <f>IFERROR(INDEX(StdBewertungen[Anzeigetext],MATCH(StdDisziplinen[[#This Row],[Bewertung]],StdBewertungen[StdBewertung],0)),"")</f>
        <v>Zeit</v>
      </c>
      <c r="AA3" t="s">
        <v>7</v>
      </c>
      <c r="AD3" s="19">
        <v>-1</v>
      </c>
      <c r="AE3" s="19">
        <v>1</v>
      </c>
      <c r="AF3" s="19">
        <v>2</v>
      </c>
      <c r="AG3" s="19">
        <v>0</v>
      </c>
      <c r="AH3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3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3" s="19"/>
      <c r="AL3" s="3" t="s">
        <v>514</v>
      </c>
      <c r="AM3" t="s">
        <v>67</v>
      </c>
      <c r="AN3" t="str">
        <f>StdBS[[#This Row],[StdNummer]]&amp;"   "&amp;StdBS[[#This Row],[StdBS]]</f>
        <v>BS.2   Bewegen an Geräten</v>
      </c>
      <c r="AO3">
        <v>3</v>
      </c>
      <c r="AQ3" s="10" t="s">
        <v>58</v>
      </c>
      <c r="AS3" t="s">
        <v>32</v>
      </c>
      <c r="AT3" t="s">
        <v>11</v>
      </c>
      <c r="AV3" t="s">
        <v>11</v>
      </c>
      <c r="AX3" t="s">
        <v>55</v>
      </c>
      <c r="AZ3" t="s">
        <v>103</v>
      </c>
      <c r="BB3">
        <v>0</v>
      </c>
      <c r="BD3" t="s">
        <v>157</v>
      </c>
    </row>
    <row r="4" spans="1:56" x14ac:dyDescent="0.3">
      <c r="E4" t="s">
        <v>30</v>
      </c>
      <c r="F4" s="3">
        <v>1</v>
      </c>
      <c r="G4" s="181" t="str">
        <f>"_"&amp;MID(StdSkala[[#This Row],[Geschlecht]],1,1)&amp;MID(INDEX(StdJahr[StdJahrText],StdSkala[[#This Row],[Jahr]]),1,1)</f>
        <v>_K1</v>
      </c>
      <c r="H4" t="str">
        <f>MID(StdSkala[[#This Row],[Geschlecht]],1,1)&amp;StdSkala[[#This Row],[Jahr]]</f>
        <v>K1</v>
      </c>
      <c r="I4" t="str">
        <f>StdSkala[[#This Row],[Geschlecht]]&amp;" "&amp;StdSkala[[#This Row],[StdSkala]]</f>
        <v>Knaben K1</v>
      </c>
      <c r="K4">
        <f t="shared" ref="K4:K30" si="0">K3+1</f>
        <v>3</v>
      </c>
      <c r="L4" s="3" t="s">
        <v>513</v>
      </c>
      <c r="M4" s="3" t="s">
        <v>113</v>
      </c>
      <c r="N4" s="3" t="s">
        <v>58</v>
      </c>
      <c r="O4" s="3" t="s">
        <v>71</v>
      </c>
      <c r="P4" s="3" t="s">
        <v>17</v>
      </c>
      <c r="Q4" t="s">
        <v>49</v>
      </c>
      <c r="R4" t="s">
        <v>94</v>
      </c>
      <c r="S4" t="str">
        <f>StdDisziplinen[[#This Row],[StdTabÜberschrift]]&amp;"_XX"&amp;$AX$16</f>
        <v>ZwölfMinLaufHalle_XX[Resultat]</v>
      </c>
      <c r="T4" t="str">
        <f>StdDisziplinen[[#This Row],[StdTabÜberschrift]]&amp;"_XX"&amp;$AX$18</f>
        <v>ZwölfMinLaufHalle_XX[Note]</v>
      </c>
      <c r="U4" t="str">
        <f>StdDisziplinen[[#This Row],[StdTabÜberschrift]]&amp;$AS$14</f>
        <v>ZwölfMinLaufHalleNote</v>
      </c>
      <c r="V4" t="str">
        <f>StdDisziplinen[[#This Row],[StdTabÜberschrift]]&amp;MID($AX$16,2,8)&amp;$AX$16</f>
        <v>ZwölfMinLaufHalleResultat[Resultat]</v>
      </c>
      <c r="W4" t="s">
        <v>145</v>
      </c>
      <c r="X4" t="s">
        <v>52</v>
      </c>
      <c r="Y4" s="241" t="s">
        <v>373</v>
      </c>
      <c r="Z4" t="str">
        <f>IFERROR(INDEX(StdBewertungen[Anzeigetext],MATCH(StdDisziplinen[[#This Row],[Bewertung]],StdBewertungen[StdBewertung],0)),"")</f>
        <v>Anzahl Runden</v>
      </c>
      <c r="AA4" t="s">
        <v>7</v>
      </c>
      <c r="AD4" s="19">
        <v>-1</v>
      </c>
      <c r="AE4" s="19">
        <v>1</v>
      </c>
      <c r="AF4" s="19">
        <v>0.5</v>
      </c>
      <c r="AG4" s="19">
        <v>0</v>
      </c>
      <c r="AH4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4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4" s="19"/>
      <c r="AL4" s="3" t="s">
        <v>515</v>
      </c>
      <c r="AM4" t="s">
        <v>68</v>
      </c>
      <c r="AN4" t="str">
        <f>StdBS[[#This Row],[StdNummer]]&amp;"   "&amp;StdBS[[#This Row],[StdBS]]</f>
        <v>BS.3   Darstellen und Tanzen</v>
      </c>
      <c r="AO4">
        <v>1</v>
      </c>
      <c r="AQ4" s="10" t="s">
        <v>3</v>
      </c>
      <c r="AS4" t="s">
        <v>61</v>
      </c>
      <c r="AT4" t="s">
        <v>11</v>
      </c>
      <c r="AV4" t="s">
        <v>47</v>
      </c>
      <c r="AX4" t="s">
        <v>59</v>
      </c>
      <c r="AZ4" t="s">
        <v>154</v>
      </c>
      <c r="BB4">
        <v>-1</v>
      </c>
      <c r="BD4" t="s">
        <v>161</v>
      </c>
    </row>
    <row r="5" spans="1:56" x14ac:dyDescent="0.3">
      <c r="E5" t="s">
        <v>30</v>
      </c>
      <c r="F5" s="3">
        <v>2</v>
      </c>
      <c r="G5" s="181" t="str">
        <f>"_"&amp;MID(StdSkala[[#This Row],[Geschlecht]],1,1)&amp;MID(INDEX(StdJahr[StdJahrText],StdSkala[[#This Row],[Jahr]]),1,1)</f>
        <v>_K2</v>
      </c>
      <c r="H5" t="str">
        <f>MID(StdSkala[[#This Row],[Geschlecht]],1,1)&amp;StdSkala[[#This Row],[Jahr]]</f>
        <v>K2</v>
      </c>
      <c r="I5" t="str">
        <f>StdSkala[[#This Row],[Geschlecht]]&amp;" "&amp;StdSkala[[#This Row],[StdSkala]]</f>
        <v>Knaben K2</v>
      </c>
      <c r="K5">
        <f t="shared" si="0"/>
        <v>4</v>
      </c>
      <c r="L5" s="3" t="s">
        <v>513</v>
      </c>
      <c r="M5" s="3" t="s">
        <v>113</v>
      </c>
      <c r="N5" s="3" t="s">
        <v>58</v>
      </c>
      <c r="O5" s="3" t="s">
        <v>71</v>
      </c>
      <c r="P5" s="3" t="s">
        <v>17</v>
      </c>
      <c r="Q5" t="s">
        <v>50</v>
      </c>
      <c r="R5" t="s">
        <v>95</v>
      </c>
      <c r="S5" t="str">
        <f>StdDisziplinen[[#This Row],[StdTabÜberschrift]]&amp;"_XX"&amp;$AX$16</f>
        <v>ZwölfMinLaufimFreien_XX[Resultat]</v>
      </c>
      <c r="T5" t="str">
        <f>StdDisziplinen[[#This Row],[StdTabÜberschrift]]&amp;"_XX"&amp;$AX$18</f>
        <v>ZwölfMinLaufimFreien_XX[Note]</v>
      </c>
      <c r="U5" t="str">
        <f>StdDisziplinen[[#This Row],[StdTabÜberschrift]]&amp;$AS$14</f>
        <v>ZwölfMinLaufimFreienNote</v>
      </c>
      <c r="V5" t="str">
        <f>StdDisziplinen[[#This Row],[StdTabÜberschrift]]&amp;MID($AX$16,2,8)&amp;$AX$16</f>
        <v>ZwölfMinLaufimFreienResultat[Resultat]</v>
      </c>
      <c r="W5" t="s">
        <v>146</v>
      </c>
      <c r="X5" t="s">
        <v>39</v>
      </c>
      <c r="Y5" t="str">
        <f>StdDisziplinen[[#This Row],[Bewertung]]</f>
        <v>Meter</v>
      </c>
      <c r="Z5" t="str">
        <f>IFERROR(INDEX(StdBewertungen[Anzeigetext],MATCH(StdDisziplinen[[#This Row],[Bewertung]],StdBewertungen[StdBewertung],0)),"")</f>
        <v>Distanz</v>
      </c>
      <c r="AA5" t="s">
        <v>7</v>
      </c>
      <c r="AD5" s="19">
        <v>1</v>
      </c>
      <c r="AE5" s="19">
        <v>1</v>
      </c>
      <c r="AF5" s="19">
        <v>0</v>
      </c>
      <c r="AG5" s="19">
        <v>0</v>
      </c>
      <c r="AH5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5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5" s="19"/>
      <c r="AL5" s="3" t="s">
        <v>516</v>
      </c>
      <c r="AM5" t="s">
        <v>69</v>
      </c>
      <c r="AN5" t="str">
        <f>StdBS[[#This Row],[StdNummer]]&amp;"   "&amp;StdBS[[#This Row],[StdBS]]</f>
        <v>BS.4   Spielen</v>
      </c>
      <c r="AO5">
        <v>3</v>
      </c>
      <c r="AQ5" s="10" t="s">
        <v>56</v>
      </c>
      <c r="AS5" t="s">
        <v>53</v>
      </c>
      <c r="AT5" t="s">
        <v>11</v>
      </c>
      <c r="AV5" t="s">
        <v>37</v>
      </c>
      <c r="AX5" t="s">
        <v>66</v>
      </c>
      <c r="AZ5" t="s">
        <v>155</v>
      </c>
      <c r="BD5" t="s">
        <v>173</v>
      </c>
    </row>
    <row r="6" spans="1:56" x14ac:dyDescent="0.3">
      <c r="K6">
        <f t="shared" si="0"/>
        <v>5</v>
      </c>
      <c r="L6" s="165" t="s">
        <v>513</v>
      </c>
      <c r="M6" s="165"/>
      <c r="N6" s="165" t="s">
        <v>3</v>
      </c>
      <c r="O6" s="165"/>
      <c r="P6" s="165"/>
      <c r="Q6" s="164" t="s">
        <v>4</v>
      </c>
      <c r="R6" s="164" t="str">
        <f>StdDisziplinen[[#This Row],[StdDisziplin]]</f>
        <v>Hochsprung</v>
      </c>
      <c r="S6" s="164" t="str">
        <f>StdDisziplinen[[#This Row],[StdTabÜberschrift]]&amp;"_XX"&amp;$AX$16</f>
        <v>Hochsprung_XX[Resultat]</v>
      </c>
      <c r="T6" s="164" t="str">
        <f>StdDisziplinen[[#This Row],[StdTabÜberschrift]]&amp;"_XX"&amp;$AX$18</f>
        <v>Hochsprung_XX[Note]</v>
      </c>
      <c r="U6" s="164" t="str">
        <f>StdDisziplinen[[#This Row],[StdTabÜberschrift]]&amp;$AS$14</f>
        <v>HochsprungNote</v>
      </c>
      <c r="V6" s="164" t="str">
        <f>StdDisziplinen[[#This Row],[StdTabÜberschrift]]&amp;MID($AX$16,2,8)&amp;$AX$16</f>
        <v>HochsprungResultat[Resultat]</v>
      </c>
      <c r="W6" s="164" t="s">
        <v>147</v>
      </c>
      <c r="X6" s="164" t="s">
        <v>51</v>
      </c>
      <c r="Y6" s="245" t="s">
        <v>79</v>
      </c>
      <c r="Z6" s="164" t="str">
        <f>IFERROR(INDEX(StdBewertungen[Anzeigetext],MATCH(StdDisziplinen[[#This Row],[Bewertung]],StdBewertungen[StdBewertung],0)),"")</f>
        <v>Distanz</v>
      </c>
      <c r="AA6" s="164" t="s">
        <v>7</v>
      </c>
      <c r="AB6" s="164"/>
      <c r="AC6" s="164"/>
      <c r="AD6" s="163">
        <v>1</v>
      </c>
      <c r="AE6" s="196">
        <v>1</v>
      </c>
      <c r="AF6" s="196">
        <v>0</v>
      </c>
      <c r="AG6" s="19">
        <v>0</v>
      </c>
      <c r="AH6" s="196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6" s="196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6" s="196"/>
      <c r="AL6" s="3" t="s">
        <v>517</v>
      </c>
      <c r="AM6" t="s">
        <v>106</v>
      </c>
      <c r="AN6" t="str">
        <f>StdBS[[#This Row],[StdNummer]]&amp;"   "&amp;StdBS[[#This Row],[StdBS]]</f>
        <v>BS.5   Gleiten, Rollen, Fahren</v>
      </c>
      <c r="AQ6" s="80" t="s">
        <v>6</v>
      </c>
      <c r="AS6" t="s">
        <v>79</v>
      </c>
      <c r="AT6" t="s">
        <v>47</v>
      </c>
      <c r="AX6" t="s">
        <v>75</v>
      </c>
      <c r="BB6" t="s">
        <v>179</v>
      </c>
      <c r="BD6" t="s">
        <v>145</v>
      </c>
    </row>
    <row r="7" spans="1:56" x14ac:dyDescent="0.3">
      <c r="K7">
        <f t="shared" si="0"/>
        <v>6</v>
      </c>
      <c r="L7" s="3" t="s">
        <v>513</v>
      </c>
      <c r="N7" s="3" t="s">
        <v>3</v>
      </c>
      <c r="Q7" t="s">
        <v>5</v>
      </c>
      <c r="R7" t="str">
        <f>StdDisziplinen[[#This Row],[StdDisziplin]]</f>
        <v>Weitsprung</v>
      </c>
      <c r="S7" t="str">
        <f>StdDisziplinen[[#This Row],[StdTabÜberschrift]]&amp;"_XX"&amp;$AX$16</f>
        <v>Weitsprung_XX[Resultat]</v>
      </c>
      <c r="T7" t="str">
        <f>StdDisziplinen[[#This Row],[StdTabÜberschrift]]&amp;"_XX"&amp;$AX$18</f>
        <v>Weitsprung_XX[Note]</v>
      </c>
      <c r="U7" t="str">
        <f>StdDisziplinen[[#This Row],[StdTabÜberschrift]]&amp;$AS$14</f>
        <v>WeitsprungNote</v>
      </c>
      <c r="V7" t="str">
        <f>StdDisziplinen[[#This Row],[StdTabÜberschrift]]&amp;MID($AX$16,2,8)&amp;$AX$16</f>
        <v>WeitsprungResultat[Resultat]</v>
      </c>
      <c r="W7" t="s">
        <v>147</v>
      </c>
      <c r="X7" t="s">
        <v>51</v>
      </c>
      <c r="Y7" s="178" t="s">
        <v>79</v>
      </c>
      <c r="Z7" t="str">
        <f>IFERROR(INDEX(StdBewertungen[Anzeigetext],MATCH(StdDisziplinen[[#This Row],[Bewertung]],StdBewertungen[StdBewertung],0)),"")</f>
        <v>Distanz</v>
      </c>
      <c r="AA7" t="s">
        <v>7</v>
      </c>
      <c r="AD7" s="19">
        <v>1</v>
      </c>
      <c r="AE7" s="19">
        <v>1</v>
      </c>
      <c r="AF7" s="19">
        <v>0</v>
      </c>
      <c r="AG7" s="19">
        <v>0</v>
      </c>
      <c r="AH7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7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7" s="19"/>
      <c r="AL7" s="3" t="s">
        <v>518</v>
      </c>
      <c r="AM7" t="s">
        <v>70</v>
      </c>
      <c r="AN7" t="str">
        <f>StdBS[[#This Row],[StdNummer]]&amp;"   "&amp;StdBS[[#This Row],[StdBS]]</f>
        <v>BS.6   Bewegen im Wasser</v>
      </c>
      <c r="AS7" t="s">
        <v>39</v>
      </c>
      <c r="AT7" t="s">
        <v>47</v>
      </c>
      <c r="AX7" t="s">
        <v>76</v>
      </c>
      <c r="BB7">
        <v>1</v>
      </c>
      <c r="BD7" t="s">
        <v>146</v>
      </c>
    </row>
    <row r="8" spans="1:56" x14ac:dyDescent="0.3">
      <c r="K8">
        <f t="shared" si="0"/>
        <v>7</v>
      </c>
      <c r="L8" s="3" t="s">
        <v>513</v>
      </c>
      <c r="N8" s="3" t="s">
        <v>56</v>
      </c>
      <c r="Q8" t="s">
        <v>0</v>
      </c>
      <c r="R8" t="str">
        <f>StdDisziplinen[[#This Row],[StdDisziplin]]</f>
        <v>Ballwurf</v>
      </c>
      <c r="S8" t="str">
        <f>StdDisziplinen[[#This Row],[StdTabÜberschrift]]&amp;"_XX"&amp;$AX$16</f>
        <v>Ballwurf_XX[Resultat]</v>
      </c>
      <c r="T8" t="str">
        <f>StdDisziplinen[[#This Row],[StdTabÜberschrift]]&amp;"_XX"&amp;$AX$18</f>
        <v>Ballwurf_XX[Note]</v>
      </c>
      <c r="U8" t="str">
        <f>StdDisziplinen[[#This Row],[StdTabÜberschrift]]&amp;$AS$14</f>
        <v>BallwurfNote</v>
      </c>
      <c r="V8" t="str">
        <f>StdDisziplinen[[#This Row],[StdTabÜberschrift]]&amp;MID($AX$16,2,8)&amp;$AX$16</f>
        <v>BallwurfResultat[Resultat]</v>
      </c>
      <c r="W8" t="s">
        <v>148</v>
      </c>
      <c r="X8" t="s">
        <v>51</v>
      </c>
      <c r="Y8" s="178" t="s">
        <v>39</v>
      </c>
      <c r="Z8" t="str">
        <f>IFERROR(INDEX(StdBewertungen[Anzeigetext],MATCH(StdDisziplinen[[#This Row],[Bewertung]],StdBewertungen[StdBewertung],0)),"")</f>
        <v>Distanz</v>
      </c>
      <c r="AA8" t="s">
        <v>7</v>
      </c>
      <c r="AD8" s="19">
        <v>1</v>
      </c>
      <c r="AE8" s="19">
        <v>1</v>
      </c>
      <c r="AF8" s="19">
        <v>2</v>
      </c>
      <c r="AG8" s="19">
        <v>0</v>
      </c>
      <c r="AH8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8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8" s="19"/>
      <c r="AL8" s="3"/>
      <c r="AS8" t="s">
        <v>51</v>
      </c>
      <c r="AT8" t="s">
        <v>47</v>
      </c>
      <c r="AX8" t="s">
        <v>86</v>
      </c>
      <c r="BB8">
        <v>0</v>
      </c>
      <c r="BD8" t="s">
        <v>147</v>
      </c>
    </row>
    <row r="9" spans="1:56" x14ac:dyDescent="0.3">
      <c r="E9" t="s">
        <v>116</v>
      </c>
      <c r="F9" t="s">
        <v>119</v>
      </c>
      <c r="K9">
        <f t="shared" si="0"/>
        <v>8</v>
      </c>
      <c r="L9" s="3" t="s">
        <v>513</v>
      </c>
      <c r="N9" s="3" t="s">
        <v>56</v>
      </c>
      <c r="Q9" t="s">
        <v>1</v>
      </c>
      <c r="R9" t="str">
        <f>StdDisziplinen[[#This Row],[StdDisziplin]]</f>
        <v>Kugelstossen</v>
      </c>
      <c r="S9" t="str">
        <f>StdDisziplinen[[#This Row],[StdTabÜberschrift]]&amp;"_XX"&amp;$AX$16</f>
        <v>Kugelstossen_XX[Resultat]</v>
      </c>
      <c r="T9" t="str">
        <f>StdDisziplinen[[#This Row],[StdTabÜberschrift]]&amp;"_XX"&amp;$AX$18</f>
        <v>Kugelstossen_XX[Note]</v>
      </c>
      <c r="U9" t="str">
        <f>StdDisziplinen[[#This Row],[StdTabÜberschrift]]&amp;$AS$14</f>
        <v>KugelstossenNote</v>
      </c>
      <c r="V9" t="str">
        <f>StdDisziplinen[[#This Row],[StdTabÜberschrift]]&amp;MID($AX$16,2,8)&amp;$AX$16</f>
        <v>KugelstossenResultat[Resultat]</v>
      </c>
      <c r="W9" t="s">
        <v>148</v>
      </c>
      <c r="X9" t="s">
        <v>51</v>
      </c>
      <c r="Y9" s="178" t="s">
        <v>39</v>
      </c>
      <c r="Z9" t="str">
        <f>IFERROR(INDEX(StdBewertungen[Anzeigetext],MATCH(StdDisziplinen[[#This Row],[Bewertung]],StdBewertungen[StdBewertung],0)),"")</f>
        <v>Distanz</v>
      </c>
      <c r="AA9" t="s">
        <v>7</v>
      </c>
      <c r="AD9" s="19">
        <v>1</v>
      </c>
      <c r="AE9" s="19">
        <v>1</v>
      </c>
      <c r="AF9" s="19">
        <v>2</v>
      </c>
      <c r="AG9" s="19">
        <v>0</v>
      </c>
      <c r="AH9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9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9" s="19"/>
      <c r="AQ9" s="10" t="s">
        <v>59</v>
      </c>
      <c r="AS9" t="s">
        <v>8</v>
      </c>
      <c r="AT9" t="s">
        <v>37</v>
      </c>
      <c r="AX9" t="s">
        <v>33</v>
      </c>
      <c r="BD9" t="s">
        <v>172</v>
      </c>
    </row>
    <row r="10" spans="1:56" x14ac:dyDescent="0.3">
      <c r="E10" s="3">
        <v>1</v>
      </c>
      <c r="F10" s="3" t="str">
        <f>StdJahr[[#This Row],[StdJahr]]&amp;". OS"</f>
        <v>1. OS</v>
      </c>
      <c r="G10" s="3"/>
      <c r="K10">
        <f t="shared" si="0"/>
        <v>9</v>
      </c>
      <c r="L10" s="3" t="s">
        <v>513</v>
      </c>
      <c r="N10" s="3" t="s">
        <v>56</v>
      </c>
      <c r="Q10" t="s">
        <v>2</v>
      </c>
      <c r="R10" t="str">
        <f>StdDisziplinen[[#This Row],[StdDisziplin]]</f>
        <v>Speerwurf</v>
      </c>
      <c r="S10" t="str">
        <f>StdDisziplinen[[#This Row],[StdTabÜberschrift]]&amp;"_XX"&amp;$AX$16</f>
        <v>Speerwurf_XX[Resultat]</v>
      </c>
      <c r="T10" t="str">
        <f>StdDisziplinen[[#This Row],[StdTabÜberschrift]]&amp;"_XX"&amp;$AX$18</f>
        <v>Speerwurf_XX[Note]</v>
      </c>
      <c r="U10" t="str">
        <f>StdDisziplinen[[#This Row],[StdTabÜberschrift]]&amp;$AS$14</f>
        <v>SpeerwurfNote</v>
      </c>
      <c r="V10" t="str">
        <f>StdDisziplinen[[#This Row],[StdTabÜberschrift]]&amp;MID($AX$16,2,8)&amp;$AX$16</f>
        <v>SpeerwurfResultat[Resultat]</v>
      </c>
      <c r="W10" t="s">
        <v>148</v>
      </c>
      <c r="X10" t="s">
        <v>51</v>
      </c>
      <c r="Y10" s="178" t="s">
        <v>39</v>
      </c>
      <c r="Z10" t="str">
        <f>IFERROR(INDEX(StdBewertungen[Anzeigetext],MATCH(StdDisziplinen[[#This Row],[Bewertung]],StdBewertungen[StdBewertung],0)),"")</f>
        <v>Distanz</v>
      </c>
      <c r="AA10" t="s">
        <v>7</v>
      </c>
      <c r="AD10" s="19">
        <v>1</v>
      </c>
      <c r="AE10" s="19">
        <v>1</v>
      </c>
      <c r="AF10" s="19">
        <v>2</v>
      </c>
      <c r="AG10" s="19">
        <v>0</v>
      </c>
      <c r="AH10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10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10" s="19"/>
      <c r="AQ10" s="10" t="s">
        <v>17</v>
      </c>
      <c r="AX10" t="s">
        <v>40</v>
      </c>
      <c r="BD10" t="s">
        <v>148</v>
      </c>
    </row>
    <row r="11" spans="1:56" x14ac:dyDescent="0.3">
      <c r="E11" s="3">
        <v>2</v>
      </c>
      <c r="F11" s="3" t="str">
        <f>StdJahr[[#This Row],[StdJahr]]&amp;". OS"</f>
        <v>2. OS</v>
      </c>
      <c r="G11" s="3"/>
      <c r="K11">
        <f t="shared" si="0"/>
        <v>10</v>
      </c>
      <c r="L11" s="3" t="s">
        <v>514</v>
      </c>
      <c r="N11" s="3" t="s">
        <v>6</v>
      </c>
      <c r="Q11" t="s">
        <v>132</v>
      </c>
      <c r="R11" t="str">
        <f>StdDisziplinen[[#This Row],[Gruppe]]</f>
        <v>Geräteturnen</v>
      </c>
      <c r="S11" t="str">
        <f>StdDisziplinen[[#This Row],[StdTabÜberschrift]]&amp;"_XX"&amp;$AX$16</f>
        <v>Geräteturnen_XX[Resultat]</v>
      </c>
      <c r="T11" t="str">
        <f>StdDisziplinen[[#This Row],[StdTabÜberschrift]]&amp;"_XX"&amp;$AX$18</f>
        <v>Geräteturnen_XX[Note]</v>
      </c>
      <c r="U11" s="178" t="str">
        <f>StdDisziplinen[[#This Row],[StdTabÜberschrift]]&amp;$AS$14</f>
        <v>GeräteturnenNote</v>
      </c>
      <c r="V11" s="178" t="str">
        <f>StdDisziplinen[[#This Row],[StdDisziplin]]&amp;MID($AX$16,2,8)&amp;$AX$16</f>
        <v>ReckResultat[Resultat]</v>
      </c>
      <c r="W11" t="s">
        <v>158</v>
      </c>
      <c r="X11" t="s">
        <v>8</v>
      </c>
      <c r="Y11" s="241" t="str">
        <f>StdDisziplinen[[#This Row],[Resultatanzeige]]</f>
        <v>Punkte</v>
      </c>
      <c r="Z11" t="str">
        <f>IFERROR(INDEX(StdBewertungen[Anzeigetext],MATCH(StdDisziplinen[[#This Row],[Bewertung]],StdBewertungen[StdBewertung],0)),"")</f>
        <v>Punkte</v>
      </c>
      <c r="AA11" t="s">
        <v>7</v>
      </c>
      <c r="AB11" s="178">
        <v>20</v>
      </c>
      <c r="AC11" s="205">
        <v>20</v>
      </c>
      <c r="AD11" s="19">
        <v>1</v>
      </c>
      <c r="AE11" s="19">
        <v>1</v>
      </c>
      <c r="AF11" s="19">
        <v>0</v>
      </c>
      <c r="AG11" s="19">
        <v>0</v>
      </c>
      <c r="AH11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1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1" s="19" t="str">
        <f>INDEX(_Stufe_Reck,1,1)</f>
        <v>2. OS</v>
      </c>
      <c r="AQ11" s="10" t="s">
        <v>18</v>
      </c>
      <c r="AX11" t="s">
        <v>116</v>
      </c>
      <c r="AZ11" t="s">
        <v>73</v>
      </c>
      <c r="BA11" t="s">
        <v>74</v>
      </c>
      <c r="BB11" t="s">
        <v>112</v>
      </c>
      <c r="BD11" t="s">
        <v>158</v>
      </c>
    </row>
    <row r="12" spans="1:56" x14ac:dyDescent="0.3">
      <c r="K12">
        <f t="shared" si="0"/>
        <v>11</v>
      </c>
      <c r="L12" s="3" t="s">
        <v>514</v>
      </c>
      <c r="N12" s="3" t="s">
        <v>6</v>
      </c>
      <c r="Q12" t="s">
        <v>133</v>
      </c>
      <c r="R12" t="str">
        <f>StdDisziplinen[[#This Row],[Gruppe]]</f>
        <v>Geräteturnen</v>
      </c>
      <c r="S12" t="str">
        <f>StdDisziplinen[[#This Row],[StdTabÜberschrift]]&amp;"_XX"&amp;$AX$16</f>
        <v>Geräteturnen_XX[Resultat]</v>
      </c>
      <c r="T12" t="str">
        <f>StdDisziplinen[[#This Row],[StdTabÜberschrift]]&amp;"_XX"&amp;$AX$18</f>
        <v>Geräteturnen_XX[Note]</v>
      </c>
      <c r="U12" s="178" t="str">
        <f>StdDisziplinen[[#This Row],[StdTabÜberschrift]]&amp;$AS$14</f>
        <v>GeräteturnenNote</v>
      </c>
      <c r="V12" s="178" t="str">
        <f>StdDisziplinen[[#This Row],[StdDisziplin]]&amp;MID($AX$16,2,8)&amp;$AX$16</f>
        <v>BodenResultat[Resultat]</v>
      </c>
      <c r="W12" t="s">
        <v>158</v>
      </c>
      <c r="X12" t="s">
        <v>8</v>
      </c>
      <c r="Y12" s="241" t="str">
        <f>StdDisziplinen[[#This Row],[Resultatanzeige]]</f>
        <v>Punkte</v>
      </c>
      <c r="Z12" t="str">
        <f>IFERROR(INDEX(StdBewertungen[Anzeigetext],MATCH(StdDisziplinen[[#This Row],[Bewertung]],StdBewertungen[StdBewertung],0)),"")</f>
        <v>Punkte</v>
      </c>
      <c r="AA12" t="s">
        <v>7</v>
      </c>
      <c r="AB12" s="178">
        <v>20</v>
      </c>
      <c r="AC12" s="178">
        <v>20</v>
      </c>
      <c r="AD12" s="19">
        <v>1</v>
      </c>
      <c r="AE12" s="19">
        <v>1</v>
      </c>
      <c r="AF12" s="19">
        <v>0</v>
      </c>
      <c r="AG12" s="19">
        <v>0</v>
      </c>
      <c r="AH12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2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2" s="19" t="str">
        <f>INDEX(_Stufe_Boden,1,1)</f>
        <v>2. OS</v>
      </c>
      <c r="AQ12" s="10" t="s">
        <v>19</v>
      </c>
      <c r="AX12" t="s">
        <v>151</v>
      </c>
      <c r="AZ12" t="s">
        <v>113</v>
      </c>
      <c r="BA12" t="s">
        <v>71</v>
      </c>
      <c r="BB12" t="s">
        <v>111</v>
      </c>
      <c r="BD12" t="s">
        <v>170</v>
      </c>
    </row>
    <row r="13" spans="1:56" x14ac:dyDescent="0.3">
      <c r="D13" t="s">
        <v>508</v>
      </c>
      <c r="F13" t="s">
        <v>276</v>
      </c>
      <c r="H13" t="s">
        <v>287</v>
      </c>
      <c r="K13">
        <f t="shared" si="0"/>
        <v>12</v>
      </c>
      <c r="L13" s="3" t="s">
        <v>514</v>
      </c>
      <c r="N13" s="3" t="s">
        <v>6</v>
      </c>
      <c r="Q13" t="s">
        <v>134</v>
      </c>
      <c r="R13" t="str">
        <f>StdDisziplinen[[#This Row],[Gruppe]]</f>
        <v>Geräteturnen</v>
      </c>
      <c r="S13" t="str">
        <f>StdDisziplinen[[#This Row],[StdTabÜberschrift]]&amp;"_XX"&amp;$AX$16</f>
        <v>Geräteturnen_XX[Resultat]</v>
      </c>
      <c r="T13" t="str">
        <f>StdDisziplinen[[#This Row],[StdTabÜberschrift]]&amp;"_XX"&amp;$AX$18</f>
        <v>Geräteturnen_XX[Note]</v>
      </c>
      <c r="U13" s="178" t="str">
        <f>StdDisziplinen[[#This Row],[StdTabÜberschrift]]&amp;$AS$14</f>
        <v>GeräteturnenNote</v>
      </c>
      <c r="V13" s="178" t="str">
        <f>StdDisziplinen[[#This Row],[StdDisziplin]]&amp;MID($AX$16,2,8)&amp;$AX$16</f>
        <v>StufenbarrenResultat[Resultat]</v>
      </c>
      <c r="W13" t="s">
        <v>158</v>
      </c>
      <c r="X13" t="s">
        <v>8</v>
      </c>
      <c r="Y13" s="241" t="str">
        <f>StdDisziplinen[[#This Row],[Resultatanzeige]]</f>
        <v>Punkte</v>
      </c>
      <c r="Z13" t="str">
        <f>IFERROR(INDEX(StdBewertungen[Anzeigetext],MATCH(StdDisziplinen[[#This Row],[Bewertung]],StdBewertungen[StdBewertung],0)),"")</f>
        <v>Punkte</v>
      </c>
      <c r="AA13" t="s">
        <v>7</v>
      </c>
      <c r="AB13" s="178">
        <v>20</v>
      </c>
      <c r="AC13" s="178">
        <v>20</v>
      </c>
      <c r="AD13" s="19">
        <v>1</v>
      </c>
      <c r="AE13" s="19">
        <v>1</v>
      </c>
      <c r="AF13" s="19">
        <v>0</v>
      </c>
      <c r="AG13" s="19">
        <v>0</v>
      </c>
      <c r="AH13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3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3" s="19" t="str">
        <f>INDEX(_Stufe_Stufenbarren,1,1)</f>
        <v>2. OS</v>
      </c>
      <c r="AQ13" s="10" t="s">
        <v>20</v>
      </c>
      <c r="AS13" t="s">
        <v>86</v>
      </c>
      <c r="AX13" t="s">
        <v>166</v>
      </c>
      <c r="BD13" t="s">
        <v>159</v>
      </c>
    </row>
    <row r="14" spans="1:56" x14ac:dyDescent="0.3">
      <c r="A14" t="s">
        <v>423</v>
      </c>
      <c r="B14" t="s">
        <v>424</v>
      </c>
      <c r="D14" t="s">
        <v>502</v>
      </c>
      <c r="E14" t="s">
        <v>270</v>
      </c>
      <c r="F14" t="s">
        <v>269</v>
      </c>
      <c r="H14" t="s">
        <v>271</v>
      </c>
      <c r="I14" t="s">
        <v>502</v>
      </c>
      <c r="K14">
        <f t="shared" si="0"/>
        <v>13</v>
      </c>
      <c r="L14" s="3" t="s">
        <v>514</v>
      </c>
      <c r="N14" s="3" t="s">
        <v>6</v>
      </c>
      <c r="Q14" t="s">
        <v>135</v>
      </c>
      <c r="R14" t="str">
        <f>StdDisziplinen[[#This Row],[Gruppe]]</f>
        <v>Geräteturnen</v>
      </c>
      <c r="S14" t="str">
        <f>StdDisziplinen[[#This Row],[StdTabÜberschrift]]&amp;"_XX"&amp;$AX$16</f>
        <v>Geräteturnen_XX[Resultat]</v>
      </c>
      <c r="T14" t="str">
        <f>StdDisziplinen[[#This Row],[StdTabÜberschrift]]&amp;"_XX"&amp;$AX$18</f>
        <v>Geräteturnen_XX[Note]</v>
      </c>
      <c r="U14" s="178" t="str">
        <f>StdDisziplinen[[#This Row],[StdTabÜberschrift]]&amp;$AS$14</f>
        <v>GeräteturnenNote</v>
      </c>
      <c r="V14" s="178" t="str">
        <f>StdDisziplinen[[#This Row],[StdDisziplin]]&amp;MID($AX$16,2,8)&amp;$AX$16</f>
        <v>ParallelbarrenResultat[Resultat]</v>
      </c>
      <c r="W14" t="s">
        <v>158</v>
      </c>
      <c r="X14" t="s">
        <v>8</v>
      </c>
      <c r="Y14" s="241" t="str">
        <f>StdDisziplinen[[#This Row],[Resultatanzeige]]</f>
        <v>Punkte</v>
      </c>
      <c r="Z14" t="str">
        <f>IFERROR(INDEX(StdBewertungen[Anzeigetext],MATCH(StdDisziplinen[[#This Row],[Bewertung]],StdBewertungen[StdBewertung],0)),"")</f>
        <v>Punkte</v>
      </c>
      <c r="AA14" t="s">
        <v>7</v>
      </c>
      <c r="AB14" s="178">
        <v>20</v>
      </c>
      <c r="AC14" s="178">
        <v>20</v>
      </c>
      <c r="AD14" s="19">
        <v>1</v>
      </c>
      <c r="AE14" s="19">
        <v>1</v>
      </c>
      <c r="AF14" s="19">
        <v>0</v>
      </c>
      <c r="AG14" s="19">
        <v>0</v>
      </c>
      <c r="AH14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4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4" s="19" t="str">
        <f>INDEX(_Stufe_Parallelbarren,1,1)</f>
        <v>2. OS</v>
      </c>
      <c r="AS14" t="s">
        <v>7</v>
      </c>
      <c r="AX14" t="s">
        <v>179</v>
      </c>
      <c r="BD14" t="s">
        <v>160</v>
      </c>
    </row>
    <row r="15" spans="1:56" x14ac:dyDescent="0.3">
      <c r="A15" t="str">
        <f ca="1">Schuljahre[[#Headers],[Schuljahr]]&amp;" "&amp;YEAR(TODAY())+(Schuljahre[[#This Row],[Zähler]]-1)&amp;"/"&amp;YEAR(TODAY())+Schuljahre[[#This Row],[Zähler]]</f>
        <v>Schuljahr 2020/2021</v>
      </c>
      <c r="B15">
        <v>-1</v>
      </c>
      <c r="D15" s="3">
        <f ca="1">INDEX(INDIRECT($D$13),MATCH(Schulgemeinden[[#This Row],[Kanton]],INDIRECT($F$13),0))</f>
        <v>1</v>
      </c>
      <c r="E15" s="10" t="s">
        <v>393</v>
      </c>
      <c r="F15" t="s">
        <v>272</v>
      </c>
      <c r="H15" t="s">
        <v>272</v>
      </c>
      <c r="I15">
        <f>ROW(Diplom_Kantone!A1)</f>
        <v>1</v>
      </c>
      <c r="K15">
        <f t="shared" si="0"/>
        <v>14</v>
      </c>
      <c r="L15" s="3" t="s">
        <v>514</v>
      </c>
      <c r="N15" s="3" t="s">
        <v>6</v>
      </c>
      <c r="Q15" t="s">
        <v>136</v>
      </c>
      <c r="R15" t="str">
        <f>StdDisziplinen[[#This Row],[Gruppe]]</f>
        <v>Geräteturnen</v>
      </c>
      <c r="S15" t="str">
        <f>StdDisziplinen[[#This Row],[StdTabÜberschrift]]&amp;"_XX"&amp;$AX$16</f>
        <v>Geräteturnen_XX[Resultat]</v>
      </c>
      <c r="T15" t="str">
        <f>StdDisziplinen[[#This Row],[StdTabÜberschrift]]&amp;"_XX"&amp;$AX$18</f>
        <v>Geräteturnen_XX[Note]</v>
      </c>
      <c r="U15" s="178" t="str">
        <f>StdDisziplinen[[#This Row],[StdTabÜberschrift]]&amp;$AS$14</f>
        <v>GeräteturnenNote</v>
      </c>
      <c r="V15" s="178" t="str">
        <f>StdDisziplinen[[#This Row],[StdDisziplin]]&amp;MID($AX$16,2,8)&amp;$AX$16</f>
        <v>SchaukelringeResultat[Resultat]</v>
      </c>
      <c r="W15" t="s">
        <v>158</v>
      </c>
      <c r="X15" t="s">
        <v>8</v>
      </c>
      <c r="Y15" s="241" t="str">
        <f>StdDisziplinen[[#This Row],[Resultatanzeige]]</f>
        <v>Punkte</v>
      </c>
      <c r="Z15" t="str">
        <f>IFERROR(INDEX(StdBewertungen[Anzeigetext],MATCH(StdDisziplinen[[#This Row],[Bewertung]],StdBewertungen[StdBewertung],0)),"")</f>
        <v>Punkte</v>
      </c>
      <c r="AA15" t="s">
        <v>7</v>
      </c>
      <c r="AB15" s="178">
        <v>20</v>
      </c>
      <c r="AC15" s="178">
        <v>20</v>
      </c>
      <c r="AD15" s="19">
        <v>1</v>
      </c>
      <c r="AE15" s="19">
        <v>1</v>
      </c>
      <c r="AF15" s="19">
        <v>0</v>
      </c>
      <c r="AG15" s="19">
        <v>0</v>
      </c>
      <c r="AH15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5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5" s="19" t="str">
        <f>INDEX(_Stufe_Schaukelringe,1,1)</f>
        <v>2. OS</v>
      </c>
      <c r="AS15" t="s">
        <v>25</v>
      </c>
      <c r="AX15" s="62" t="s">
        <v>121</v>
      </c>
    </row>
    <row r="16" spans="1:56" x14ac:dyDescent="0.3">
      <c r="A16" t="str">
        <f ca="1">Schuljahre[[#Headers],[Schuljahr]]&amp;" "&amp;YEAR(TODAY())+(Schuljahre[[#This Row],[Zähler]]-1)&amp;"/"&amp;YEAR(TODAY())+Schuljahre[[#This Row],[Zähler]]</f>
        <v>Schuljahr 2021/2022</v>
      </c>
      <c r="B16">
        <v>0</v>
      </c>
      <c r="D16" s="3">
        <f ca="1">INDEX(INDIRECT($D$13),MATCH(Schulgemeinden[[#This Row],[Kanton]],INDIRECT($F$13),0))</f>
        <v>1</v>
      </c>
      <c r="E16" s="10" t="s">
        <v>394</v>
      </c>
      <c r="F16" t="s">
        <v>272</v>
      </c>
      <c r="H16" t="s">
        <v>273</v>
      </c>
      <c r="I16">
        <f>ROW(Diplom_Kantone!A2)</f>
        <v>2</v>
      </c>
      <c r="K16">
        <f t="shared" si="0"/>
        <v>15</v>
      </c>
      <c r="L16" s="3" t="s">
        <v>514</v>
      </c>
      <c r="N16" s="3" t="s">
        <v>6</v>
      </c>
      <c r="Q16" t="s">
        <v>137</v>
      </c>
      <c r="R16" t="str">
        <f>StdDisziplinen[[#This Row],[Gruppe]]</f>
        <v>Geräteturnen</v>
      </c>
      <c r="S16" t="str">
        <f>StdDisziplinen[[#This Row],[StdTabÜberschrift]]&amp;"_XX"&amp;$AX$16</f>
        <v>Geräteturnen_XX[Resultat]</v>
      </c>
      <c r="T16" t="str">
        <f>StdDisziplinen[[#This Row],[StdTabÜberschrift]]&amp;"_XX"&amp;$AX$18</f>
        <v>Geräteturnen_XX[Note]</v>
      </c>
      <c r="U16" s="178" t="str">
        <f>StdDisziplinen[[#This Row],[StdTabÜberschrift]]&amp;$AS$14</f>
        <v>GeräteturnenNote</v>
      </c>
      <c r="V16" s="178" t="str">
        <f>StdDisziplinen[[#This Row],[StdDisziplin]]&amp;MID($AX$16,2,8)&amp;$AX$16</f>
        <v>SprungResultat[Resultat]</v>
      </c>
      <c r="W16" t="s">
        <v>158</v>
      </c>
      <c r="X16" t="s">
        <v>8</v>
      </c>
      <c r="Y16" s="241" t="str">
        <f>StdDisziplinen[[#This Row],[Resultatanzeige]]</f>
        <v>Punkte</v>
      </c>
      <c r="Z16" t="str">
        <f>IFERROR(INDEX(StdBewertungen[Anzeigetext],MATCH(StdDisziplinen[[#This Row],[Bewertung]],StdBewertungen[StdBewertung],0)),"")</f>
        <v>Punkte</v>
      </c>
      <c r="AA16" t="s">
        <v>7</v>
      </c>
      <c r="AB16" s="178">
        <v>20</v>
      </c>
      <c r="AC16" s="178">
        <v>20</v>
      </c>
      <c r="AD16" s="19">
        <v>1</v>
      </c>
      <c r="AE16" s="19">
        <v>1</v>
      </c>
      <c r="AF16" s="19">
        <v>0</v>
      </c>
      <c r="AG16" s="19">
        <v>0</v>
      </c>
      <c r="AH16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20 Punkte</v>
      </c>
      <c r="AI16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20 Punkte</v>
      </c>
      <c r="AJ16" s="19" t="str">
        <f>INDEX(_Stufe_Sprung,1,1)</f>
        <v>2. OS</v>
      </c>
      <c r="AM16" t="s">
        <v>81</v>
      </c>
      <c r="AX16" s="62" t="s">
        <v>122</v>
      </c>
    </row>
    <row r="17" spans="1:51" x14ac:dyDescent="0.3">
      <c r="A17" t="str">
        <f ca="1">Schuljahre[[#Headers],[Schuljahr]]&amp;" "&amp;YEAR(TODAY())+(Schuljahre[[#This Row],[Zähler]]-1)&amp;"/"&amp;YEAR(TODAY())+Schuljahre[[#This Row],[Zähler]]</f>
        <v>Schuljahr 2022/2023</v>
      </c>
      <c r="B17">
        <v>1</v>
      </c>
      <c r="D17" s="3">
        <f ca="1">INDEX(INDIRECT($D$13),MATCH(Schulgemeinden[[#This Row],[Kanton]],INDIRECT($F$13),0))</f>
        <v>1</v>
      </c>
      <c r="E17" s="10" t="s">
        <v>395</v>
      </c>
      <c r="F17" t="s">
        <v>272</v>
      </c>
      <c r="H17" t="s">
        <v>274</v>
      </c>
      <c r="I17">
        <f>ROW(Diplom_Kantone!A3)</f>
        <v>3</v>
      </c>
      <c r="K17">
        <f t="shared" si="0"/>
        <v>16</v>
      </c>
      <c r="L17" s="3" t="s">
        <v>514</v>
      </c>
      <c r="Q17" t="s">
        <v>131</v>
      </c>
      <c r="R17" s="19" t="str">
        <f>StdDisziplinen[[#This Row],[StdDisziplin]]</f>
        <v>Parkour</v>
      </c>
      <c r="S17" s="19" t="str">
        <f>StdDisziplinen[[#This Row],[StdTabÜberschrift]]&amp;"_XX"&amp;$AX$16</f>
        <v>Parkour_XX[Resultat]</v>
      </c>
      <c r="T17" s="19" t="str">
        <f>StdDisziplinen[[#This Row],[StdTabÜberschrift]]&amp;"_XX"&amp;$AX$18</f>
        <v>Parkour_XX[Note]</v>
      </c>
      <c r="U17" s="19" t="str">
        <f>StdDisziplinen[[#This Row],[StdTabÜberschrift]]&amp;$AS$14</f>
        <v>ParkourNote</v>
      </c>
      <c r="V17" s="19" t="str">
        <f>StdDisziplinen[[#This Row],[StdTabÜberschrift]]&amp;MID($AX$16,2,8)&amp;$AX$16</f>
        <v>ParkourResultat[Resultat]</v>
      </c>
      <c r="W17" s="201" t="s">
        <v>158</v>
      </c>
      <c r="X17" t="s">
        <v>8</v>
      </c>
      <c r="Y17" s="241" t="str">
        <f>StdDisziplinen[[#This Row],[Resultatanzeige]]</f>
        <v>Punkte</v>
      </c>
      <c r="Z17" t="str">
        <f>IFERROR(INDEX(StdBewertungen[Anzeigetext],MATCH(StdDisziplinen[[#This Row],[Bewertung]],StdBewertungen[StdBewertung],0)),"")</f>
        <v>Punkte</v>
      </c>
      <c r="AA17" t="s">
        <v>7</v>
      </c>
      <c r="AB17" s="197">
        <f ca="1">LARGE(INDIRECT(CONCATENATE(StdDisziplinen[[#This Row],[StdTabÜberschrift]],"_M1")),1)</f>
        <v>26</v>
      </c>
      <c r="AC17" s="197">
        <f ca="1">LARGE(INDIRECT(CONCATENATE(StdDisziplinen[[#This Row],[StdTabÜberschrift]],"_M2")),1)</f>
        <v>26</v>
      </c>
      <c r="AD17" s="19">
        <v>1</v>
      </c>
      <c r="AE17" s="19">
        <v>1</v>
      </c>
      <c r="AF17" s="19">
        <v>0</v>
      </c>
      <c r="AG17" s="19">
        <v>0</v>
      </c>
      <c r="AH17" s="19" t="str">
        <f ca="1"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26 Punkte</v>
      </c>
      <c r="AI17" s="19" t="str">
        <f ca="1"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26 Punkte</v>
      </c>
      <c r="AJ17" s="19" t="str">
        <f>INDEX(_Stufe_Parkour,1,1)</f>
        <v>2. OS</v>
      </c>
      <c r="AM17" t="str">
        <f>$Q$2</f>
        <v>60-m-Lauf</v>
      </c>
      <c r="AX17" t="str">
        <f>"["&amp;AS15&amp;"]"</f>
        <v>[Status]</v>
      </c>
    </row>
    <row r="18" spans="1:51" x14ac:dyDescent="0.3">
      <c r="A18" t="str">
        <f ca="1">Schuljahre[[#Headers],[Schuljahr]]&amp;" "&amp;YEAR(TODAY())+(Schuljahre[[#This Row],[Zähler]]-1)&amp;"/"&amp;YEAR(TODAY())+Schuljahre[[#This Row],[Zähler]]</f>
        <v>Schuljahr 2023/2024</v>
      </c>
      <c r="B18">
        <v>2</v>
      </c>
      <c r="D18" s="3">
        <f ca="1">INDEX(INDIRECT($D$13),MATCH(Schulgemeinden[[#This Row],[Kanton]],INDIRECT($F$13),0))</f>
        <v>1</v>
      </c>
      <c r="E18" s="10" t="s">
        <v>396</v>
      </c>
      <c r="F18" t="s">
        <v>272</v>
      </c>
      <c r="H18" t="s">
        <v>275</v>
      </c>
      <c r="I18">
        <f>ROW(Diplom_Kantone!A4)</f>
        <v>4</v>
      </c>
      <c r="K18">
        <f t="shared" si="0"/>
        <v>17</v>
      </c>
      <c r="L18" s="3" t="s">
        <v>515</v>
      </c>
      <c r="Q18" t="s">
        <v>9</v>
      </c>
      <c r="R18" s="19" t="str">
        <f>StdDisziplinen[[#This Row],[StdDisziplin]]</f>
        <v>Tanzen</v>
      </c>
      <c r="S18" s="19" t="str">
        <f>StdDisziplinen[[#This Row],[StdTabÜberschrift]]&amp;"_XX"&amp;$AX$16</f>
        <v>Tanzen_XX[Resultat]</v>
      </c>
      <c r="T18" s="19" t="str">
        <f>StdDisziplinen[[#This Row],[StdTabÜberschrift]]&amp;"_XX"&amp;$AX$18</f>
        <v>Tanzen_XX[Note]</v>
      </c>
      <c r="U18" s="19" t="str">
        <f>StdDisziplinen[[#This Row],[StdTabÜberschrift]]&amp;$AS$14</f>
        <v>TanzenNote</v>
      </c>
      <c r="V18" s="19" t="str">
        <f>StdDisziplinen[[#This Row],[StdTabÜberschrift]]&amp;MID($AX$16,2,8)&amp;$AX$16</f>
        <v>TanzenResultat[Resultat]</v>
      </c>
      <c r="W18" s="19" t="s">
        <v>159</v>
      </c>
      <c r="X18" t="s">
        <v>8</v>
      </c>
      <c r="Y18" s="241" t="str">
        <f>StdDisziplinen[[#This Row],[Resultatanzeige]]</f>
        <v>Punkte</v>
      </c>
      <c r="Z18" t="str">
        <f>IFERROR(INDEX(StdBewertungen[Anzeigetext],MATCH(StdDisziplinen[[#This Row],[Bewertung]],StdBewertungen[StdBewertung],0)),"")</f>
        <v>Punkte</v>
      </c>
      <c r="AA18" t="s">
        <v>7</v>
      </c>
      <c r="AB18" s="197">
        <f ca="1">LARGE(INDIRECT(CONCATENATE(StdDisziplinen[[#This Row],[StdTabÜberschrift]],"_M1")),1)</f>
        <v>12</v>
      </c>
      <c r="AC18" s="197">
        <f ca="1">LARGE(INDIRECT(CONCATENATE(StdDisziplinen[[#This Row],[StdTabÜberschrift]],"_M2")),1)</f>
        <v>12</v>
      </c>
      <c r="AD18" s="19">
        <v>1</v>
      </c>
      <c r="AE18" s="19">
        <v>1</v>
      </c>
      <c r="AF18" s="19">
        <v>0.5</v>
      </c>
      <c r="AG18" s="19">
        <v>0</v>
      </c>
      <c r="AH18" s="19" t="str">
        <f ca="1"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12 Punkte</v>
      </c>
      <c r="AI18" s="19" t="str">
        <f ca="1"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12 Punkte</v>
      </c>
      <c r="AJ18" s="19" t="str">
        <f>INDEX(_Stufe_Tanzen,1,1)</f>
        <v>2. OS</v>
      </c>
      <c r="AM18" t="str">
        <f>$Q$3</f>
        <v>80-m-Lauf</v>
      </c>
      <c r="AX18" t="str">
        <f>"["&amp;AS14&amp;"]"</f>
        <v>[Note]</v>
      </c>
    </row>
    <row r="19" spans="1:51" x14ac:dyDescent="0.3">
      <c r="A19" t="str">
        <f ca="1">Schuljahre[[#Headers],[Schuljahr]]&amp;" "&amp;YEAR(TODAY())+(Schuljahre[[#This Row],[Zähler]]-1)&amp;"/"&amp;YEAR(TODAY())+Schuljahre[[#This Row],[Zähler]]</f>
        <v>Schuljahr 2024/2025</v>
      </c>
      <c r="B19">
        <v>3</v>
      </c>
      <c r="D19" s="3">
        <f ca="1">INDEX(INDIRECT($D$13),MATCH(Schulgemeinden[[#This Row],[Kanton]],INDIRECT($F$13),0))</f>
        <v>1</v>
      </c>
      <c r="E19" s="10" t="s">
        <v>397</v>
      </c>
      <c r="F19" t="s">
        <v>272</v>
      </c>
      <c r="K19">
        <f t="shared" si="0"/>
        <v>18</v>
      </c>
      <c r="L19" s="3" t="s">
        <v>515</v>
      </c>
      <c r="Q19" t="s">
        <v>21</v>
      </c>
      <c r="R19" s="19" t="s">
        <v>96</v>
      </c>
      <c r="S19" s="19" t="str">
        <f>StdDisziplinen[[#This Row],[StdTabÜberschrift]]&amp;"_XX"&amp;$AX$16</f>
        <v>RopeSkipping_XX[Resultat]</v>
      </c>
      <c r="T19" s="19" t="str">
        <f>StdDisziplinen[[#This Row],[StdTabÜberschrift]]&amp;"_XX"&amp;$AX$18</f>
        <v>RopeSkipping_XX[Note]</v>
      </c>
      <c r="U19" s="19" t="str">
        <f>StdDisziplinen[[#This Row],[StdTabÜberschrift]]&amp;$AS$14</f>
        <v>RopeSkippingNote</v>
      </c>
      <c r="V19" s="19" t="str">
        <f>StdDisziplinen[[#This Row],[StdTabÜberschrift]]&amp;MID($AX$16,2,8)&amp;$AX$16</f>
        <v>RopeSkippingResultat[Resultat]</v>
      </c>
      <c r="W19" s="19" t="s">
        <v>160</v>
      </c>
      <c r="X19" t="s">
        <v>8</v>
      </c>
      <c r="Y19" s="241" t="str">
        <f>StdDisziplinen[[#This Row],[Resultatanzeige]]</f>
        <v>Punkte</v>
      </c>
      <c r="Z19" t="str">
        <f>IFERROR(INDEX(StdBewertungen[Anzeigetext],MATCH(StdDisziplinen[[#This Row],[Bewertung]],StdBewertungen[StdBewertung],0)),"")</f>
        <v>Punkte</v>
      </c>
      <c r="AA19" t="s">
        <v>7</v>
      </c>
      <c r="AB19" s="197">
        <f ca="1">LARGE(INDIRECT(CONCATENATE(StdDisziplinen[[#This Row],[StdTabÜberschrift]],"_M1")),1)</f>
        <v>18</v>
      </c>
      <c r="AC19" s="197">
        <f ca="1">LARGE(INDIRECT(CONCATENATE(StdDisziplinen[[#This Row],[StdTabÜberschrift]],"_M2")),1)</f>
        <v>18</v>
      </c>
      <c r="AD19" s="19">
        <v>1</v>
      </c>
      <c r="AE19" s="19">
        <v>1</v>
      </c>
      <c r="AF19" s="19">
        <v>0</v>
      </c>
      <c r="AG19" s="19">
        <v>0</v>
      </c>
      <c r="AH19" s="19" t="str">
        <f ca="1"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18 Punkte</v>
      </c>
      <c r="AI19" s="19" t="str">
        <f ca="1"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18 Punkte</v>
      </c>
      <c r="AJ19" s="19" t="str">
        <f>INDEX(_Stufe_RopeSkipping,1,1)</f>
        <v>2. OS</v>
      </c>
      <c r="AX19" s="62" t="s">
        <v>124</v>
      </c>
    </row>
    <row r="20" spans="1:51" x14ac:dyDescent="0.3">
      <c r="A20" t="str">
        <f ca="1">Schuljahre[[#Headers],[Schuljahr]]&amp;" "&amp;YEAR(TODAY())+(Schuljahre[[#This Row],[Zähler]]-1)&amp;"/"&amp;YEAR(TODAY())+Schuljahre[[#This Row],[Zähler]]</f>
        <v>Schuljahr 2025/2026</v>
      </c>
      <c r="B20">
        <v>4</v>
      </c>
      <c r="D20" s="3">
        <f ca="1">INDEX(INDIRECT($D$13),MATCH(Schulgemeinden[[#This Row],[Kanton]],INDIRECT($F$13),0))</f>
        <v>1</v>
      </c>
      <c r="E20" s="10" t="s">
        <v>398</v>
      </c>
      <c r="F20" t="s">
        <v>272</v>
      </c>
      <c r="K20">
        <f t="shared" si="0"/>
        <v>19</v>
      </c>
      <c r="L20" s="3" t="s">
        <v>515</v>
      </c>
      <c r="Q20" t="s">
        <v>10</v>
      </c>
      <c r="R20" s="19" t="str">
        <f>StdDisziplinen[[#This Row],[StdDisziplin]]</f>
        <v>Aerobic</v>
      </c>
      <c r="S20" s="19" t="str">
        <f>StdDisziplinen[[#This Row],[StdTabÜberschrift]]&amp;"_XX"&amp;$AX$16</f>
        <v>Aerobic_XX[Resultat]</v>
      </c>
      <c r="T20" s="19" t="str">
        <f>StdDisziplinen[[#This Row],[StdTabÜberschrift]]&amp;"_XX"&amp;$AX$18</f>
        <v>Aerobic_XX[Note]</v>
      </c>
      <c r="U20" s="19" t="str">
        <f>StdDisziplinen[[#This Row],[StdTabÜberschrift]]&amp;$AS$14</f>
        <v>AerobicNote</v>
      </c>
      <c r="V20" s="19" t="str">
        <f>StdDisziplinen[[#This Row],[StdTabÜberschrift]]&amp;MID($AX$16,2,8)&amp;$AX$16</f>
        <v>AerobicResultat[Resultat]</v>
      </c>
      <c r="W20" s="19" t="s">
        <v>159</v>
      </c>
      <c r="X20" t="s">
        <v>8</v>
      </c>
      <c r="Y20" s="241" t="str">
        <f>StdDisziplinen[[#This Row],[Resultatanzeige]]</f>
        <v>Punkte</v>
      </c>
      <c r="Z20" t="str">
        <f>IFERROR(INDEX(StdBewertungen[Anzeigetext],MATCH(StdDisziplinen[[#This Row],[Bewertung]],StdBewertungen[StdBewertung],0)),"")</f>
        <v>Punkte</v>
      </c>
      <c r="AA20" t="s">
        <v>7</v>
      </c>
      <c r="AB20" s="197">
        <f ca="1">LARGE(INDIRECT(CONCATENATE(StdDisziplinen[[#This Row],[StdTabÜberschrift]],"_M1")),1)</f>
        <v>12</v>
      </c>
      <c r="AC20" s="197">
        <f ca="1">LARGE(INDIRECT(CONCATENATE(StdDisziplinen[[#This Row],[StdTabÜberschrift]],"_M2")),1)</f>
        <v>12</v>
      </c>
      <c r="AD20" s="19">
        <v>1</v>
      </c>
      <c r="AE20" s="19">
        <v>1</v>
      </c>
      <c r="AF20" s="19">
        <v>0.5</v>
      </c>
      <c r="AG20" s="19">
        <v>0</v>
      </c>
      <c r="AH20" s="19" t="str">
        <f ca="1"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12 Punkte</v>
      </c>
      <c r="AI20" s="19" t="str">
        <f ca="1"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12 Punkte</v>
      </c>
      <c r="AJ20" s="19" t="str">
        <f>INDEX(_Stufe_Aerobic,1,1)</f>
        <v>2. OS</v>
      </c>
      <c r="AX20" s="62" t="s">
        <v>167</v>
      </c>
    </row>
    <row r="21" spans="1:51" x14ac:dyDescent="0.3">
      <c r="A21" s="19" t="str">
        <f ca="1">Schuljahre[[#Headers],[Schuljahr]]&amp;" "&amp;YEAR(TODAY())+(Schuljahre[[#This Row],[Zähler]]-1)&amp;"/"&amp;YEAR(TODAY())+Schuljahre[[#This Row],[Zähler]]</f>
        <v>Schuljahr 2026/2027</v>
      </c>
      <c r="B21">
        <v>5</v>
      </c>
      <c r="D21" s="3">
        <f ca="1">INDEX(INDIRECT($D$13),MATCH(Schulgemeinden[[#This Row],[Kanton]],INDIRECT($F$13),0))</f>
        <v>1</v>
      </c>
      <c r="E21" s="10" t="s">
        <v>399</v>
      </c>
      <c r="F21" t="s">
        <v>272</v>
      </c>
      <c r="H21" t="s">
        <v>280</v>
      </c>
      <c r="I21" t="s">
        <v>502</v>
      </c>
      <c r="K21">
        <f t="shared" si="0"/>
        <v>20</v>
      </c>
      <c r="L21" s="3" t="s">
        <v>516</v>
      </c>
      <c r="Q21" t="s">
        <v>12</v>
      </c>
      <c r="R21" s="19" t="str">
        <f>StdDisziplinen[[#This Row],[StdDisziplin]]</f>
        <v>Basketball</v>
      </c>
      <c r="S21" s="19" t="str">
        <f>StdDisziplinen[[#This Row],[StdTabÜberschrift]]&amp;"_XX"&amp;$AX$16</f>
        <v>Basketball_XX[Resultat]</v>
      </c>
      <c r="T21" s="19" t="str">
        <f>StdDisziplinen[[#This Row],[StdTabÜberschrift]]&amp;"_XX"&amp;$AX$18</f>
        <v>Basketball_XX[Note]</v>
      </c>
      <c r="U21" s="19" t="str">
        <f>StdDisziplinen[[#This Row],[StdTabÜberschrift]]&amp;$AS$14</f>
        <v>BasketballNote</v>
      </c>
      <c r="V21" s="19" t="str">
        <f>StdDisziplinen[[#This Row],[StdTabÜberschrift]]&amp;MID($AX$16,2,8)&amp;$AX$16</f>
        <v>BasketballResultat[Resultat]</v>
      </c>
      <c r="W21" s="19" t="s">
        <v>157</v>
      </c>
      <c r="X21" t="s">
        <v>61</v>
      </c>
      <c r="Y21" s="178" t="s">
        <v>32</v>
      </c>
      <c r="Z21" t="str">
        <f>IFERROR(INDEX(StdBewertungen[Anzeigetext],MATCH(StdDisziplinen[[#This Row],[Bewertung]],StdBewertungen[StdBewertung],0)),"")</f>
        <v>Zeit</v>
      </c>
      <c r="AA21" t="s">
        <v>7</v>
      </c>
      <c r="AD21" s="19">
        <v>-1</v>
      </c>
      <c r="AE21" s="19">
        <v>1</v>
      </c>
      <c r="AF21" s="19">
        <v>1</v>
      </c>
      <c r="AG21" s="19">
        <v>0</v>
      </c>
      <c r="AH21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1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1" s="19"/>
    </row>
    <row r="22" spans="1:51" x14ac:dyDescent="0.3">
      <c r="A22" s="19" t="str">
        <f>Schuljahre[[#Headers],[Schuljahr]]&amp;" "&amp;Diplom!$J$9</f>
        <v xml:space="preserve">Schuljahr </v>
      </c>
      <c r="D22" s="3">
        <f ca="1">INDEX(INDIRECT($D$13),MATCH(Schulgemeinden[[#This Row],[Kanton]],INDIRECT($F$13),0))</f>
        <v>1</v>
      </c>
      <c r="E22" s="10" t="s">
        <v>371</v>
      </c>
      <c r="F22" t="s">
        <v>272</v>
      </c>
      <c r="H22" t="str">
        <f>Diplom_Werte!$U$7</f>
        <v>Gold</v>
      </c>
      <c r="I22">
        <f>ROW(Diplom_Kantone!B1)</f>
        <v>1</v>
      </c>
      <c r="K22">
        <f t="shared" si="0"/>
        <v>21</v>
      </c>
      <c r="L22" s="3" t="s">
        <v>516</v>
      </c>
      <c r="Q22" t="s">
        <v>13</v>
      </c>
      <c r="R22" s="19" t="str">
        <f>StdDisziplinen[[#This Row],[StdDisziplin]]</f>
        <v>Fussball</v>
      </c>
      <c r="S22" s="19" t="str">
        <f>StdDisziplinen[[#This Row],[StdTabÜberschrift]]&amp;"_XX"&amp;$AX$16</f>
        <v>Fussball_XX[Resultat]</v>
      </c>
      <c r="T22" s="19" t="str">
        <f>StdDisziplinen[[#This Row],[StdTabÜberschrift]]&amp;"_XX"&amp;$AX$18</f>
        <v>Fussball_XX[Note]</v>
      </c>
      <c r="U22" s="19" t="str">
        <f>StdDisziplinen[[#This Row],[StdTabÜberschrift]]&amp;$AS$14</f>
        <v>FussballNote</v>
      </c>
      <c r="V22" s="19" t="str">
        <f>StdDisziplinen[[#This Row],[StdTabÜberschrift]]&amp;MID($AX$16,2,8)&amp;$AX$16</f>
        <v>FussballResultat[Resultat]</v>
      </c>
      <c r="W22" s="19" t="s">
        <v>157</v>
      </c>
      <c r="X22" t="s">
        <v>61</v>
      </c>
      <c r="Y22" s="178" t="s">
        <v>32</v>
      </c>
      <c r="Z22" t="str">
        <f>IFERROR(INDEX(StdBewertungen[Anzeigetext],MATCH(StdDisziplinen[[#This Row],[Bewertung]],StdBewertungen[StdBewertung],0)),"")</f>
        <v>Zeit</v>
      </c>
      <c r="AA22" t="s">
        <v>7</v>
      </c>
      <c r="AD22" s="19">
        <v>-1</v>
      </c>
      <c r="AE22" s="19">
        <v>1</v>
      </c>
      <c r="AF22" s="19">
        <v>1</v>
      </c>
      <c r="AG22" s="19">
        <v>0</v>
      </c>
      <c r="AH22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2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2" s="19"/>
      <c r="AM22" t="s">
        <v>82</v>
      </c>
      <c r="AX22" t="s">
        <v>169</v>
      </c>
    </row>
    <row r="23" spans="1:51" x14ac:dyDescent="0.3">
      <c r="D23" s="3">
        <f ca="1">INDEX(INDIRECT($D$13),MATCH(Schulgemeinden[[#This Row],[Kanton]],INDIRECT($F$13),0))</f>
        <v>1</v>
      </c>
      <c r="E23" s="10" t="s">
        <v>400</v>
      </c>
      <c r="F23" t="s">
        <v>272</v>
      </c>
      <c r="H23" t="str">
        <f>Diplom_Werte!$U$6</f>
        <v>Silber</v>
      </c>
      <c r="I23">
        <f>ROW(Diplom_Kantone!B2)</f>
        <v>2</v>
      </c>
      <c r="K23">
        <f t="shared" si="0"/>
        <v>22</v>
      </c>
      <c r="L23" s="3" t="s">
        <v>516</v>
      </c>
      <c r="Q23" t="s">
        <v>14</v>
      </c>
      <c r="R23" s="19" t="str">
        <f>StdDisziplinen[[#This Row],[StdDisziplin]]</f>
        <v>Handball</v>
      </c>
      <c r="S23" s="19" t="str">
        <f>StdDisziplinen[[#This Row],[StdTabÜberschrift]]&amp;"_XX"&amp;$AX$16</f>
        <v>Handball_XX[Resultat]</v>
      </c>
      <c r="T23" s="19" t="str">
        <f>StdDisziplinen[[#This Row],[StdTabÜberschrift]]&amp;"_XX"&amp;$AX$18</f>
        <v>Handball_XX[Note]</v>
      </c>
      <c r="U23" s="19" t="str">
        <f>StdDisziplinen[[#This Row],[StdTabÜberschrift]]&amp;$AS$14</f>
        <v>HandballNote</v>
      </c>
      <c r="V23" s="19" t="str">
        <f>StdDisziplinen[[#This Row],[StdTabÜberschrift]]&amp;MID($AX$16,2,8)&amp;$AX$16</f>
        <v>HandballResultat[Resultat]</v>
      </c>
      <c r="W23" s="19" t="s">
        <v>157</v>
      </c>
      <c r="X23" t="s">
        <v>61</v>
      </c>
      <c r="Y23" s="178" t="s">
        <v>32</v>
      </c>
      <c r="Z23" t="str">
        <f>IFERROR(INDEX(StdBewertungen[Anzeigetext],MATCH(StdDisziplinen[[#This Row],[Bewertung]],StdBewertungen[StdBewertung],0)),"")</f>
        <v>Zeit</v>
      </c>
      <c r="AA23" t="s">
        <v>7</v>
      </c>
      <c r="AD23" s="19">
        <v>-1</v>
      </c>
      <c r="AE23" s="19">
        <v>1</v>
      </c>
      <c r="AF23" s="19">
        <v>1</v>
      </c>
      <c r="AG23" s="19">
        <v>0</v>
      </c>
      <c r="AH23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3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3" s="19"/>
      <c r="AM23" t="str">
        <f>$Q$4</f>
        <v>12-Min.-Lauf (Halle)</v>
      </c>
    </row>
    <row r="24" spans="1:51" x14ac:dyDescent="0.3">
      <c r="D24" s="3">
        <f ca="1">INDEX(INDIRECT($D$13),MATCH(Schulgemeinden[[#This Row],[Kanton]],INDIRECT($F$13),0))</f>
        <v>1</v>
      </c>
      <c r="E24" s="10" t="s">
        <v>401</v>
      </c>
      <c r="F24" t="s">
        <v>272</v>
      </c>
      <c r="H24" t="str">
        <f>Diplom_Werte!$U$5</f>
        <v>Bronze</v>
      </c>
      <c r="I24">
        <f>ROW(Diplom_Kantone!B3)</f>
        <v>3</v>
      </c>
      <c r="K24">
        <f t="shared" si="0"/>
        <v>23</v>
      </c>
      <c r="L24" s="3" t="s">
        <v>516</v>
      </c>
      <c r="Q24" t="s">
        <v>15</v>
      </c>
      <c r="R24" s="19" t="str">
        <f>StdDisziplinen[[#This Row],[StdDisziplin]]</f>
        <v>Unihockey</v>
      </c>
      <c r="S24" s="19" t="str">
        <f>StdDisziplinen[[#This Row],[StdTabÜberschrift]]&amp;"_XX"&amp;$AX$16</f>
        <v>Unihockey_XX[Resultat]</v>
      </c>
      <c r="T24" s="19" t="str">
        <f>StdDisziplinen[[#This Row],[StdTabÜberschrift]]&amp;"_XX"&amp;$AX$18</f>
        <v>Unihockey_XX[Note]</v>
      </c>
      <c r="U24" s="19" t="str">
        <f>StdDisziplinen[[#This Row],[StdTabÜberschrift]]&amp;$AS$14</f>
        <v>UnihockeyNote</v>
      </c>
      <c r="V24" s="19" t="str">
        <f>StdDisziplinen[[#This Row],[StdTabÜberschrift]]&amp;MID($AX$16,2,8)&amp;$AX$16</f>
        <v>UnihockeyResultat[Resultat]</v>
      </c>
      <c r="W24" s="19" t="s">
        <v>157</v>
      </c>
      <c r="X24" t="s">
        <v>61</v>
      </c>
      <c r="Y24" s="178" t="s">
        <v>32</v>
      </c>
      <c r="Z24" t="str">
        <f>IFERROR(INDEX(StdBewertungen[Anzeigetext],MATCH(StdDisziplinen[[#This Row],[Bewertung]],StdBewertungen[StdBewertung],0)),"")</f>
        <v>Zeit</v>
      </c>
      <c r="AA24" t="s">
        <v>7</v>
      </c>
      <c r="AD24" s="19">
        <v>-1</v>
      </c>
      <c r="AE24" s="19">
        <v>1</v>
      </c>
      <c r="AF24" s="19">
        <v>1</v>
      </c>
      <c r="AG24" s="19">
        <v>0</v>
      </c>
      <c r="AH24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4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4" s="19"/>
      <c r="AM24" t="str">
        <f>$Q$5</f>
        <v>12-Min.-Lauf (im Freien)</v>
      </c>
      <c r="AX24" t="s">
        <v>303</v>
      </c>
    </row>
    <row r="25" spans="1:51" x14ac:dyDescent="0.3">
      <c r="D25" s="3">
        <f ca="1">INDEX(INDIRECT($D$13),MATCH(Schulgemeinden[[#This Row],[Kanton]],INDIRECT($F$13),0))</f>
        <v>2</v>
      </c>
      <c r="E25" s="10" t="s">
        <v>402</v>
      </c>
      <c r="F25" t="s">
        <v>273</v>
      </c>
      <c r="H25" t="str">
        <f>Diplom_Werte!$U$4</f>
        <v>Absolviert</v>
      </c>
      <c r="I25">
        <f>ROW(Diplom_Kantone!B4)</f>
        <v>4</v>
      </c>
      <c r="K25">
        <f t="shared" si="0"/>
        <v>24</v>
      </c>
      <c r="L25" s="3" t="s">
        <v>516</v>
      </c>
      <c r="Q25" t="s">
        <v>16</v>
      </c>
      <c r="R25" s="19" t="str">
        <f>StdDisziplinen[[#This Row],[StdDisziplin]]</f>
        <v>Volleyball</v>
      </c>
      <c r="S25" s="19" t="str">
        <f>StdDisziplinen[[#This Row],[StdTabÜberschrift]]&amp;"_XX"&amp;$AX$16</f>
        <v>Volleyball_XX[Resultat]</v>
      </c>
      <c r="T25" s="19" t="str">
        <f>StdDisziplinen[[#This Row],[StdTabÜberschrift]]&amp;"_XX"&amp;$AX$18</f>
        <v>Volleyball_XX[Note]</v>
      </c>
      <c r="U25" s="19" t="str">
        <f>StdDisziplinen[[#This Row],[StdTabÜberschrift]]&amp;$AS$14</f>
        <v>VolleyballNote</v>
      </c>
      <c r="V25" s="19" t="str">
        <f>StdDisziplinen[[#This Row],[StdTabÜberschrift]]&amp;MID($AX$16,2,8)&amp;$AX$16</f>
        <v>VolleyballResultat[Resultat]</v>
      </c>
      <c r="W25" s="201" t="s">
        <v>170</v>
      </c>
      <c r="X25" t="s">
        <v>8</v>
      </c>
      <c r="Y25" s="241" t="str">
        <f>StdDisziplinen[[#This Row],[Resultatanzeige]]</f>
        <v>Punkte</v>
      </c>
      <c r="Z25" t="str">
        <f>IFERROR(INDEX(StdBewertungen[Anzeigetext],MATCH(StdDisziplinen[[#This Row],[Bewertung]],StdBewertungen[StdBewertung],0)),"")</f>
        <v>Punkte</v>
      </c>
      <c r="AA25" t="s">
        <v>7</v>
      </c>
      <c r="AB25" s="197">
        <f ca="1">LARGE(INDIRECT(CONCATENATE(StdDisziplinen[[#This Row],[StdTabÜberschrift]],"_M1")),1)</f>
        <v>36</v>
      </c>
      <c r="AC25" s="197">
        <f ca="1">LARGE(INDIRECT(CONCATENATE(StdDisziplinen[[#This Row],[StdTabÜberschrift]],"_M2")),1)</f>
        <v>36</v>
      </c>
      <c r="AD25" s="19">
        <v>1</v>
      </c>
      <c r="AE25" s="19">
        <v>0</v>
      </c>
      <c r="AF25" s="19">
        <v>0</v>
      </c>
      <c r="AG25" s="19">
        <v>1</v>
      </c>
      <c r="AH25" s="19" t="str">
        <f ca="1"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>max. 36 Punkte gem. Stufe</v>
      </c>
      <c r="AI25" s="19" t="str">
        <f ca="1"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>max. 36 Punkte gem. Stufe</v>
      </c>
      <c r="AJ25" s="19" t="str">
        <f>INDEX(_Stufe_Volley,1,1)</f>
        <v>2. OS</v>
      </c>
      <c r="AX25" t="s">
        <v>310</v>
      </c>
    </row>
    <row r="26" spans="1:51" x14ac:dyDescent="0.3">
      <c r="D26" s="3">
        <f ca="1">INDEX(INDIRECT($D$13),MATCH(Schulgemeinden[[#This Row],[Kanton]],INDIRECT($F$13),0))</f>
        <v>2</v>
      </c>
      <c r="E26" s="10" t="s">
        <v>403</v>
      </c>
      <c r="F26" t="s">
        <v>273</v>
      </c>
      <c r="H26" t="str">
        <f>$AX$19</f>
        <v>Dispensiert</v>
      </c>
      <c r="I26">
        <f>ROW(Diplom_Kantone!B5)</f>
        <v>5</v>
      </c>
      <c r="K26">
        <f t="shared" si="0"/>
        <v>25</v>
      </c>
      <c r="L26" s="3" t="s">
        <v>517</v>
      </c>
      <c r="R26" s="19" t="s">
        <v>87</v>
      </c>
      <c r="S26" s="19" t="str">
        <f>StdDisziplinen[[#This Row],[StdTabÜberschrift]]&amp;"_XX"&amp;$AX$17</f>
        <v>Gleiten_XX[Status]</v>
      </c>
      <c r="T26" s="19" t="str">
        <f>StdDisziplinen[[#This Row],[StdTabÜberschrift]]&amp;"_XX"&amp;$AX$18</f>
        <v>Gleiten_XX[Note]</v>
      </c>
      <c r="U26" s="19" t="str">
        <f>StdDisziplinen[[#This Row],[StdTabÜberschrift]]&amp;$AS$14</f>
        <v>GleitenNote</v>
      </c>
      <c r="V26" s="19" t="str">
        <f>StdDisziplinen[[#This Row],[StdTabÜberschrift]]&amp;MID($AX$16,2,8)&amp;$AX$16</f>
        <v>GleitenResultat[Resultat]</v>
      </c>
      <c r="W26" s="19"/>
      <c r="Z26" t="str">
        <f>IFERROR(INDEX(StdBewertungen[Anzeigetext],MATCH(StdDisziplinen[[#This Row],[Bewertung]],StdBewertungen[StdBewertung],0)),"")</f>
        <v/>
      </c>
      <c r="AA26" t="s">
        <v>25</v>
      </c>
      <c r="AD26" s="19"/>
      <c r="AE26" s="19"/>
      <c r="AF26" s="19"/>
      <c r="AG26" s="19">
        <v>0</v>
      </c>
      <c r="AH26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6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6" s="19"/>
      <c r="AX26" s="100" t="s">
        <v>325</v>
      </c>
    </row>
    <row r="27" spans="1:51" x14ac:dyDescent="0.3">
      <c r="D27" s="3">
        <f ca="1">INDEX(INDIRECT($D$13),MATCH(Schulgemeinden[[#This Row],[Kanton]],INDIRECT($F$13),0))</f>
        <v>2</v>
      </c>
      <c r="E27" s="10" t="s">
        <v>404</v>
      </c>
      <c r="F27" t="s">
        <v>273</v>
      </c>
      <c r="K27">
        <f t="shared" si="0"/>
        <v>26</v>
      </c>
      <c r="L27" s="3" t="s">
        <v>518</v>
      </c>
      <c r="Q27" t="s">
        <v>62</v>
      </c>
      <c r="R27" s="19" t="str">
        <f>StdDisziplinen[[#This Row],[StdDisziplin]]</f>
        <v>Schwimmen</v>
      </c>
      <c r="S27" s="19" t="str">
        <f>StdDisziplinen[[#This Row],[StdTabÜberschrift]]&amp;"_XX"&amp;$AX$16</f>
        <v>Schwimmen_XX[Resultat]</v>
      </c>
      <c r="T27" s="19" t="str">
        <f>StdDisziplinen[[#This Row],[StdTabÜberschrift]]&amp;"_XX"&amp;$AX$17</f>
        <v>Schwimmen_XX[Status]</v>
      </c>
      <c r="U27" s="19" t="str">
        <f>StdDisziplinen[[#This Row],[StdTabÜberschrift]]&amp;$AS$14</f>
        <v>SchwimmenNote</v>
      </c>
      <c r="V27" s="19" t="str">
        <f>StdDisziplinen[[#This Row],[StdTabÜberschrift]]&amp;MID($AX$16,2,8)&amp;$AX$16</f>
        <v>SchwimmenResultat[Resultat]</v>
      </c>
      <c r="W27" s="19" t="s">
        <v>161</v>
      </c>
      <c r="X27" t="s">
        <v>32</v>
      </c>
      <c r="Z27" t="str">
        <f>IFERROR(INDEX(StdBewertungen[Anzeigetext],MATCH(StdDisziplinen[[#This Row],[Bewertung]],StdBewertungen[StdBewertung],0)),"")</f>
        <v>Zeit</v>
      </c>
      <c r="AA27" t="s">
        <v>25</v>
      </c>
      <c r="AD27" s="19">
        <v>-1</v>
      </c>
      <c r="AE27" s="19">
        <v>1</v>
      </c>
      <c r="AF27" s="19">
        <v>0</v>
      </c>
      <c r="AG27" s="19">
        <v>0</v>
      </c>
      <c r="AH27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7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7" s="19"/>
      <c r="AX27" t="s">
        <v>329</v>
      </c>
      <c r="AY27" t="str">
        <f>RIGHT(AX27,LEN(AX27)-1)</f>
        <v>nicht durchgeführt</v>
      </c>
    </row>
    <row r="28" spans="1:51" x14ac:dyDescent="0.3">
      <c r="D28" s="3">
        <f ca="1">INDEX(INDIRECT($D$13),MATCH(Schulgemeinden[[#This Row],[Kanton]],INDIRECT($F$13),0))</f>
        <v>2</v>
      </c>
      <c r="E28" s="10" t="s">
        <v>405</v>
      </c>
      <c r="F28" t="s">
        <v>273</v>
      </c>
      <c r="K28">
        <f t="shared" si="0"/>
        <v>27</v>
      </c>
      <c r="M28" s="3" t="s">
        <v>113</v>
      </c>
      <c r="O28" s="3" t="s">
        <v>71</v>
      </c>
      <c r="P28" s="3" t="s">
        <v>18</v>
      </c>
      <c r="R28" s="19" t="str">
        <f>StdDisziplinen[[#This Row],[Fähigkeit]]</f>
        <v>Beweglichkeit</v>
      </c>
      <c r="S28" s="19" t="str">
        <f>StdDisziplinen[[#This Row],[StdTabÜberschrift]]&amp;"_XX"&amp;$AX$16</f>
        <v>Beweglichkeit_XX[Resultat]</v>
      </c>
      <c r="T28" s="19" t="str">
        <f>StdDisziplinen[[#This Row],[StdTabÜberschrift]]&amp;"_XX"&amp;$AX$18</f>
        <v>Beweglichkeit_XX[Note]</v>
      </c>
      <c r="U28" s="19" t="str">
        <f>StdDisziplinen[[#This Row],[StdTabÜberschrift]]&amp;$AS$14</f>
        <v>BeweglichkeitNote</v>
      </c>
      <c r="V28" s="19" t="str">
        <f>StdDisziplinen[[#This Row],[StdTabÜberschrift]]&amp;MID($AX$16,2,8)&amp;$AX$16</f>
        <v>BeweglichkeitResultat[Resultat]</v>
      </c>
      <c r="W28" s="19" t="s">
        <v>172</v>
      </c>
      <c r="X28" t="s">
        <v>79</v>
      </c>
      <c r="Z28" t="str">
        <f>IFERROR(INDEX(StdBewertungen[Anzeigetext],MATCH(StdDisziplinen[[#This Row],[Bewertung]],StdBewertungen[StdBewertung],0)),"")</f>
        <v>Distanz</v>
      </c>
      <c r="AA28" t="s">
        <v>7</v>
      </c>
      <c r="AD28" s="19">
        <v>1</v>
      </c>
      <c r="AE28" s="19">
        <v>0</v>
      </c>
      <c r="AF28" s="19">
        <v>0</v>
      </c>
      <c r="AG28" s="19">
        <v>0</v>
      </c>
      <c r="AH28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8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8" s="19"/>
      <c r="AX28" t="s">
        <v>22</v>
      </c>
    </row>
    <row r="29" spans="1:51" x14ac:dyDescent="0.3">
      <c r="D29" s="3">
        <f ca="1">INDEX(INDIRECT($D$13),MATCH(Schulgemeinden[[#This Row],[Kanton]],INDIRECT($F$13),0))</f>
        <v>2</v>
      </c>
      <c r="E29" s="10" t="s">
        <v>406</v>
      </c>
      <c r="F29" t="s">
        <v>273</v>
      </c>
      <c r="H29" t="s">
        <v>284</v>
      </c>
      <c r="I29" t="s">
        <v>502</v>
      </c>
      <c r="K29">
        <f t="shared" si="0"/>
        <v>28</v>
      </c>
      <c r="M29" s="3" t="s">
        <v>113</v>
      </c>
      <c r="O29" s="3" t="s">
        <v>71</v>
      </c>
      <c r="P29" s="3" t="s">
        <v>19</v>
      </c>
      <c r="R29" s="19" t="str">
        <f>StdDisziplinen[[#This Row],[Fähigkeit]]</f>
        <v>Rumpfkraft</v>
      </c>
      <c r="S29" s="19" t="str">
        <f>StdDisziplinen[[#This Row],[StdTabÜberschrift]]&amp;"_XX"&amp;$AX$16</f>
        <v>Rumpfkraft_XX[Resultat]</v>
      </c>
      <c r="T29" s="19" t="str">
        <f>StdDisziplinen[[#This Row],[StdTabÜberschrift]]&amp;"_XX"&amp;$AX$18</f>
        <v>Rumpfkraft_XX[Note]</v>
      </c>
      <c r="U29" s="19" t="str">
        <f>StdDisziplinen[[#This Row],[StdTabÜberschrift]]&amp;$AS$14</f>
        <v>RumpfkraftNote</v>
      </c>
      <c r="V29" s="19" t="str">
        <f>StdDisziplinen[[#This Row],[StdTabÜberschrift]]&amp;MID($AX$16,2,8)&amp;$AX$16</f>
        <v>RumpfkraftResultat[Resultat]</v>
      </c>
      <c r="W29" s="19" t="s">
        <v>173</v>
      </c>
      <c r="X29" t="s">
        <v>8</v>
      </c>
      <c r="Z29" t="str">
        <f>IFERROR(INDEX(StdBewertungen[Anzeigetext],MATCH(StdDisziplinen[[#This Row],[Bewertung]],StdBewertungen[StdBewertung],0)),"")</f>
        <v>Punkte</v>
      </c>
      <c r="AA29" t="s">
        <v>7</v>
      </c>
      <c r="AD29" s="66">
        <v>1</v>
      </c>
      <c r="AE29" s="66">
        <v>0</v>
      </c>
      <c r="AF29" s="66">
        <v>0</v>
      </c>
      <c r="AG29" s="19">
        <v>0</v>
      </c>
      <c r="AH29" s="66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29" s="66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29" s="66"/>
      <c r="AX29" t="str">
        <f>"[@"&amp;$AX$28&amp;"]"</f>
        <v>[@Resultat]</v>
      </c>
    </row>
    <row r="30" spans="1:51" x14ac:dyDescent="0.3">
      <c r="D30" s="3">
        <f ca="1">INDEX(INDIRECT($D$13),MATCH(Schulgemeinden[[#This Row],[Kanton]],INDIRECT($F$13),0))</f>
        <v>2</v>
      </c>
      <c r="E30" s="10" t="s">
        <v>407</v>
      </c>
      <c r="F30" t="s">
        <v>273</v>
      </c>
      <c r="H30" t="s">
        <v>285</v>
      </c>
      <c r="I30">
        <f>ROW(Diplom_Kantone!C1)</f>
        <v>1</v>
      </c>
      <c r="K30">
        <f t="shared" si="0"/>
        <v>29</v>
      </c>
      <c r="M30" s="3" t="s">
        <v>113</v>
      </c>
      <c r="Q30" t="s">
        <v>72</v>
      </c>
      <c r="R30" s="19" t="str">
        <f>StdDisziplinen[[#This Row],[StdDisziplin]]</f>
        <v>Konditionsparcours</v>
      </c>
      <c r="S30" s="19" t="str">
        <f>StdDisziplinen[[#This Row],[StdTabÜberschrift]]&amp;"_XX"&amp;$AX$16</f>
        <v>Konditionsparcours_XX[Resultat]</v>
      </c>
      <c r="T30" s="19" t="str">
        <f>StdDisziplinen[[#This Row],[StdTabÜberschrift]]&amp;"_XX"&amp;$AX$18</f>
        <v>Konditionsparcours_XX[Note]</v>
      </c>
      <c r="U30" s="19" t="str">
        <f>StdDisziplinen[[#This Row],[StdTabÜberschrift]]&amp;$AS$14</f>
        <v>KonditionsparcoursNote</v>
      </c>
      <c r="V30" s="19" t="str">
        <f>StdDisziplinen[[#This Row],[StdTabÜberschrift]]&amp;MID($AX$16,2,8)&amp;$AX$16</f>
        <v>KonditionsparcoursResultat[Resultat]</v>
      </c>
      <c r="W30" s="19" t="s">
        <v>158</v>
      </c>
      <c r="X30" t="s">
        <v>32</v>
      </c>
      <c r="Z30" t="str">
        <f>IFERROR(INDEX(StdBewertungen[Anzeigetext],MATCH(StdDisziplinen[[#This Row],[Bewertung]],StdBewertungen[StdBewertung],0)),"")</f>
        <v>Zeit</v>
      </c>
      <c r="AA30" t="s">
        <v>7</v>
      </c>
      <c r="AD30" s="19">
        <v>1</v>
      </c>
      <c r="AE30" s="19">
        <v>1</v>
      </c>
      <c r="AF30" s="19">
        <v>0</v>
      </c>
      <c r="AG30" s="19">
        <v>0</v>
      </c>
      <c r="AH30" s="19" t="str">
        <f>IF(AND(StdDisziplinen[[#This Row],[Maximalwert_OS1]]&lt;&gt;"",StdDisziplinen[[#This Row],[GemStufe_JN]]),REPLACE($AH$34,6,2,StdDisziplinen[[#This Row],[Maximalwert_OS1]])&amp;$AG$34,IF(StdDisziplinen[[#This Row],[Maximalwert_OS1]]&lt;&gt;"",REPLACE($AH$34,6,2,StdDisziplinen[[#This Row],[Maximalwert_OS1]]),""))</f>
        <v/>
      </c>
      <c r="AI30" s="19" t="str">
        <f>IF(AND(StdDisziplinen[[#This Row],[Maximalwert_OS2]]&lt;&gt;"",StdDisziplinen[[#This Row],[GemStufe_JN]]),REPLACE($AH$34,6,2,StdDisziplinen[[#This Row],[Maximalwert_OS2]])&amp;$AG$34,IF(StdDisziplinen[[#This Row],[Maximalwert_OS2]]&lt;&gt;"",REPLACE($AH$34,6,2,StdDisziplinen[[#This Row],[Maximalwert_OS2]]),""))</f>
        <v/>
      </c>
      <c r="AJ30" s="19"/>
      <c r="AX30" t="s">
        <v>369</v>
      </c>
    </row>
    <row r="31" spans="1:51" x14ac:dyDescent="0.3">
      <c r="D31" s="3">
        <f ca="1">INDEX(INDIRECT($D$13),MATCH(Schulgemeinden[[#This Row],[Kanton]],INDIRECT($F$13),0))</f>
        <v>2</v>
      </c>
      <c r="E31" s="169" t="s">
        <v>408</v>
      </c>
      <c r="F31" t="s">
        <v>273</v>
      </c>
      <c r="H31" t="s">
        <v>286</v>
      </c>
      <c r="I31">
        <f>ROW(Diplom_Kantone!C2)</f>
        <v>2</v>
      </c>
      <c r="R31" s="19"/>
      <c r="S31" s="19"/>
      <c r="T31" s="19"/>
      <c r="U31" s="19"/>
      <c r="V31" s="19"/>
      <c r="W31" s="19"/>
      <c r="AX31" t="s">
        <v>372</v>
      </c>
    </row>
    <row r="32" spans="1:51" x14ac:dyDescent="0.3">
      <c r="D32" s="3">
        <f ca="1">INDEX(INDIRECT($D$13),MATCH(Schulgemeinden[[#This Row],[Kanton]],INDIRECT($F$13),0))</f>
        <v>3</v>
      </c>
      <c r="E32" s="169" t="s">
        <v>385</v>
      </c>
      <c r="F32" t="s">
        <v>274</v>
      </c>
      <c r="H32" t="s">
        <v>278</v>
      </c>
      <c r="I32">
        <f>ROW(Diplom_Kantone!C3)</f>
        <v>3</v>
      </c>
      <c r="V32" t="str">
        <f>CONCATENATE(V2,";",V3,";",V4,";",V5,";",V6,";",V7,";",V8,";",V9,";",V10,";",V11,";",V12,";",V13,";",V14,";",V15,";",V16,";",V17,";",V18,";",V19,";",V20,";",V21,";",V22,";",V23,";",V24,";",V25,";",V26,";",V27,";",V28,";",V29,";",V30)</f>
        <v>SechzigmLaufResultat[Resultat];AchtzigmLaufResultat[Resultat];ZwölfMinLaufHalleResultat[Resultat];ZwölfMinLaufimFreienResultat[Resultat];HochsprungResultat[Resultat];WeitsprungResultat[Resultat];BallwurfResultat[Resultat];KugelstossenResultat[Resultat];SpeerwurfResultat[Resultat];ReckResultat[Resultat];BodenResultat[Resultat];StufenbarrenResultat[Resultat];ParallelbarrenResultat[Resultat];SchaukelringeResultat[Resultat];SprungResultat[Resultat];ParkourResultat[Resultat];TanzenResultat[Resultat];RopeSkippingResultat[Resultat];AerobicResultat[Resultat];BasketballResultat[Resultat];FussballResultat[Resultat];HandballResultat[Resultat];UnihockeyResultat[Resultat];VolleyballResultat[Resultat];GleitenResultat[Resultat];SchwimmenResultat[Resultat];BeweglichkeitResultat[Resultat];RumpfkraftResultat[Resultat];KonditionsparcoursResultat[Resultat]</v>
      </c>
      <c r="AX32" t="s">
        <v>419</v>
      </c>
    </row>
    <row r="33" spans="4:50" x14ac:dyDescent="0.3">
      <c r="D33" s="3">
        <f ca="1">INDEX(INDIRECT($D$13),MATCH(Schulgemeinden[[#This Row],[Kanton]],INDIRECT($F$13),0))</f>
        <v>3</v>
      </c>
      <c r="E33" s="169" t="s">
        <v>378</v>
      </c>
      <c r="F33" t="s">
        <v>274</v>
      </c>
      <c r="H33" t="s">
        <v>288</v>
      </c>
      <c r="I33">
        <v>4</v>
      </c>
      <c r="AX33" t="s">
        <v>430</v>
      </c>
    </row>
    <row r="34" spans="4:50" x14ac:dyDescent="0.3">
      <c r="D34" s="3">
        <f ca="1">INDEX(INDIRECT($D$13),MATCH(Schulgemeinden[[#This Row],[Kanton]],INDIRECT($F$13),0))</f>
        <v>3</v>
      </c>
      <c r="E34" s="169" t="s">
        <v>381</v>
      </c>
      <c r="F34" t="s">
        <v>274</v>
      </c>
      <c r="AG34" t="s">
        <v>563</v>
      </c>
      <c r="AH34" t="s">
        <v>547</v>
      </c>
      <c r="AX34" t="s">
        <v>431</v>
      </c>
    </row>
    <row r="35" spans="4:50" x14ac:dyDescent="0.3">
      <c r="D35" s="3">
        <f ca="1">INDEX(INDIRECT($D$13),MATCH(Schulgemeinden[[#This Row],[Kanton]],INDIRECT($F$13),0))</f>
        <v>3</v>
      </c>
      <c r="E35" s="169" t="s">
        <v>379</v>
      </c>
      <c r="F35" t="s">
        <v>274</v>
      </c>
      <c r="AX35" t="s">
        <v>448</v>
      </c>
    </row>
    <row r="36" spans="4:50" x14ac:dyDescent="0.3">
      <c r="D36" s="3">
        <f ca="1">INDEX(INDIRECT($D$13),MATCH(Schulgemeinden[[#This Row],[Kanton]],INDIRECT($F$13),0))</f>
        <v>3</v>
      </c>
      <c r="E36" s="169" t="s">
        <v>387</v>
      </c>
      <c r="F36" t="s">
        <v>274</v>
      </c>
    </row>
    <row r="37" spans="4:50" x14ac:dyDescent="0.3">
      <c r="D37" s="3">
        <f ca="1">INDEX(INDIRECT($D$13),MATCH(Schulgemeinden[[#This Row],[Kanton]],INDIRECT($F$13),0))</f>
        <v>3</v>
      </c>
      <c r="E37" s="169" t="s">
        <v>386</v>
      </c>
      <c r="F37" t="s">
        <v>274</v>
      </c>
    </row>
    <row r="38" spans="4:50" x14ac:dyDescent="0.3">
      <c r="D38" s="3">
        <f ca="1">INDEX(INDIRECT($D$13),MATCH(Schulgemeinden[[#This Row],[Kanton]],INDIRECT($F$13),0))</f>
        <v>3</v>
      </c>
      <c r="E38" s="169" t="s">
        <v>383</v>
      </c>
      <c r="F38" t="s">
        <v>274</v>
      </c>
    </row>
    <row r="39" spans="4:50" x14ac:dyDescent="0.3">
      <c r="D39" s="3">
        <f ca="1">INDEX(INDIRECT($D$13),MATCH(Schulgemeinden[[#This Row],[Kanton]],INDIRECT($F$13),0))</f>
        <v>3</v>
      </c>
      <c r="E39" s="169" t="s">
        <v>388</v>
      </c>
      <c r="F39" t="s">
        <v>274</v>
      </c>
    </row>
    <row r="40" spans="4:50" x14ac:dyDescent="0.3">
      <c r="D40" s="3">
        <f ca="1">INDEX(INDIRECT($D$13),MATCH(Schulgemeinden[[#This Row],[Kanton]],INDIRECT($F$13),0))</f>
        <v>3</v>
      </c>
      <c r="E40" s="169" t="s">
        <v>391</v>
      </c>
      <c r="F40" t="s">
        <v>274</v>
      </c>
    </row>
    <row r="41" spans="4:50" x14ac:dyDescent="0.3">
      <c r="D41" s="3">
        <f ca="1">INDEX(INDIRECT($D$13),MATCH(Schulgemeinden[[#This Row],[Kanton]],INDIRECT($F$13),0))</f>
        <v>3</v>
      </c>
      <c r="E41" s="169" t="s">
        <v>382</v>
      </c>
      <c r="F41" t="s">
        <v>274</v>
      </c>
    </row>
    <row r="42" spans="4:50" x14ac:dyDescent="0.3">
      <c r="D42" s="3">
        <f ca="1">INDEX(INDIRECT($D$13),MATCH(Schulgemeinden[[#This Row],[Kanton]],INDIRECT($F$13),0))</f>
        <v>3</v>
      </c>
      <c r="E42" s="169" t="s">
        <v>392</v>
      </c>
      <c r="F42" t="s">
        <v>274</v>
      </c>
    </row>
    <row r="43" spans="4:50" x14ac:dyDescent="0.3">
      <c r="D43" s="3">
        <f ca="1">INDEX(INDIRECT($D$13),MATCH(Schulgemeinden[[#This Row],[Kanton]],INDIRECT($F$13),0))</f>
        <v>3</v>
      </c>
      <c r="E43" s="169" t="s">
        <v>274</v>
      </c>
      <c r="F43" t="s">
        <v>274</v>
      </c>
    </row>
    <row r="44" spans="4:50" x14ac:dyDescent="0.3">
      <c r="D44" s="3">
        <f ca="1">INDEX(INDIRECT($D$13),MATCH(Schulgemeinden[[#This Row],[Kanton]],INDIRECT($F$13),0))</f>
        <v>3</v>
      </c>
      <c r="E44" s="169" t="s">
        <v>384</v>
      </c>
      <c r="F44" t="s">
        <v>274</v>
      </c>
    </row>
    <row r="45" spans="4:50" x14ac:dyDescent="0.3">
      <c r="D45" s="3">
        <f ca="1">INDEX(INDIRECT($D$13),MATCH(Schulgemeinden[[#This Row],[Kanton]],INDIRECT($F$13),0))</f>
        <v>3</v>
      </c>
      <c r="E45" s="169" t="s">
        <v>389</v>
      </c>
      <c r="F45" t="s">
        <v>274</v>
      </c>
    </row>
    <row r="46" spans="4:50" x14ac:dyDescent="0.3">
      <c r="D46" s="3">
        <f ca="1">INDEX(INDIRECT($D$13),MATCH(Schulgemeinden[[#This Row],[Kanton]],INDIRECT($F$13),0))</f>
        <v>3</v>
      </c>
      <c r="E46" s="169" t="s">
        <v>390</v>
      </c>
      <c r="F46" t="s">
        <v>274</v>
      </c>
    </row>
    <row r="47" spans="4:50" x14ac:dyDescent="0.3">
      <c r="D47" s="3">
        <f ca="1">INDEX(INDIRECT($D$13),MATCH(Schulgemeinden[[#This Row],[Kanton]],INDIRECT($F$13),0))</f>
        <v>3</v>
      </c>
      <c r="E47" s="169" t="s">
        <v>380</v>
      </c>
      <c r="F47" t="s">
        <v>274</v>
      </c>
    </row>
    <row r="48" spans="4:50" x14ac:dyDescent="0.3">
      <c r="D48" s="3">
        <f ca="1">INDEX(INDIRECT($D$13),MATCH(Schulgemeinden[[#This Row],[Kanton]],INDIRECT($F$13),0))</f>
        <v>4</v>
      </c>
      <c r="E48" s="169" t="s">
        <v>409</v>
      </c>
      <c r="F48" t="s">
        <v>275</v>
      </c>
    </row>
    <row r="49" spans="4:6" x14ac:dyDescent="0.3">
      <c r="D49" s="3">
        <f ca="1">INDEX(INDIRECT($D$13),MATCH(Schulgemeinden[[#This Row],[Kanton]],INDIRECT($F$13),0))</f>
        <v>4</v>
      </c>
      <c r="E49" s="169" t="s">
        <v>415</v>
      </c>
      <c r="F49" t="s">
        <v>275</v>
      </c>
    </row>
    <row r="50" spans="4:6" x14ac:dyDescent="0.3">
      <c r="D50" s="3">
        <f ca="1">INDEX(INDIRECT($D$13),MATCH(Schulgemeinden[[#This Row],[Kanton]],INDIRECT($F$13),0))</f>
        <v>4</v>
      </c>
      <c r="E50" s="169" t="s">
        <v>410</v>
      </c>
      <c r="F50" t="s">
        <v>275</v>
      </c>
    </row>
    <row r="51" spans="4:6" x14ac:dyDescent="0.3">
      <c r="D51" s="3">
        <f ca="1">INDEX(INDIRECT($D$13),MATCH(Schulgemeinden[[#This Row],[Kanton]],INDIRECT($F$13),0))</f>
        <v>4</v>
      </c>
      <c r="E51" s="169" t="s">
        <v>411</v>
      </c>
      <c r="F51" t="s">
        <v>275</v>
      </c>
    </row>
    <row r="52" spans="4:6" x14ac:dyDescent="0.3">
      <c r="D52" s="3">
        <f ca="1">INDEX(INDIRECT($D$13),MATCH(Schulgemeinden[[#This Row],[Kanton]],INDIRECT($F$13),0))</f>
        <v>4</v>
      </c>
      <c r="E52" s="169" t="s">
        <v>412</v>
      </c>
      <c r="F52" t="s">
        <v>275</v>
      </c>
    </row>
    <row r="53" spans="4:6" x14ac:dyDescent="0.3">
      <c r="D53" s="3">
        <f ca="1">INDEX(INDIRECT($D$13),MATCH(Schulgemeinden[[#This Row],[Kanton]],INDIRECT($F$13),0))</f>
        <v>4</v>
      </c>
      <c r="E53" s="10" t="s">
        <v>414</v>
      </c>
      <c r="F53" t="s">
        <v>275</v>
      </c>
    </row>
    <row r="54" spans="4:6" x14ac:dyDescent="0.3">
      <c r="D54" s="3">
        <f ca="1">INDEX(INDIRECT($D$13),MATCH(Schulgemeinden[[#This Row],[Kanton]],INDIRECT($F$13),0))</f>
        <v>4</v>
      </c>
      <c r="E54" s="10" t="s">
        <v>416</v>
      </c>
      <c r="F54" t="s">
        <v>275</v>
      </c>
    </row>
    <row r="55" spans="4:6" x14ac:dyDescent="0.3">
      <c r="D55" s="3">
        <f ca="1">INDEX(INDIRECT($D$13),MATCH(Schulgemeinden[[#This Row],[Kanton]],INDIRECT($F$13),0))</f>
        <v>4</v>
      </c>
      <c r="E55" s="169" t="s">
        <v>413</v>
      </c>
      <c r="F55" t="s">
        <v>275</v>
      </c>
    </row>
    <row r="56" spans="4:6" x14ac:dyDescent="0.3">
      <c r="D56" s="3">
        <f ca="1">INDEX(INDIRECT($D$13),MATCH(Schulgemeinden[[#This Row],[Kanton]],INDIRECT($F$13),0))</f>
        <v>4</v>
      </c>
      <c r="E56" s="10" t="s">
        <v>418</v>
      </c>
      <c r="F56" t="s">
        <v>275</v>
      </c>
    </row>
    <row r="57" spans="4:6" x14ac:dyDescent="0.3">
      <c r="D57" s="3">
        <f ca="1">INDEX(INDIRECT($D$13),MATCH(Schulgemeinden[[#This Row],[Kanton]],INDIRECT($F$13),0))</f>
        <v>4</v>
      </c>
      <c r="E57" s="10" t="s">
        <v>417</v>
      </c>
      <c r="F57" t="s">
        <v>275</v>
      </c>
    </row>
  </sheetData>
  <conditionalFormatting sqref="CU1:CU1048576">
    <cfRule type="cellIs" priority="1" operator="equal">
      <formula>$AZ$4</formula>
    </cfRule>
  </conditionalFormatting>
  <dataValidations count="16">
    <dataValidation type="list" allowBlank="1" showInputMessage="1" showErrorMessage="1" sqref="P28:P30 P2:P11 P17:P26">
      <formula1>INDIRECT($AX$4)</formula1>
    </dataValidation>
    <dataValidation type="list" allowBlank="1" showInputMessage="1" showErrorMessage="1" sqref="O28:O30 O2:O11 O17:O26">
      <formula1>INDIRECT($AX$6)</formula1>
    </dataValidation>
    <dataValidation type="list" allowBlank="1" showInputMessage="1" showErrorMessage="1" sqref="AT2:AT9">
      <formula1>INDIRECT($AX$2)</formula1>
    </dataValidation>
    <dataValidation type="list" allowBlank="1" showInputMessage="1" showErrorMessage="1" sqref="M28:M30 M2:M11 M17:M26">
      <formula1>INDIRECT($AX$7)</formula1>
    </dataValidation>
    <dataValidation type="list" allowBlank="1" showInputMessage="1" showErrorMessage="1" sqref="E2:E5">
      <formula1>INDIRECT($AX$10)</formula1>
    </dataValidation>
    <dataValidation type="list" allowBlank="1" showInputMessage="1" showErrorMessage="1" sqref="F2:F5">
      <formula1>INDIRECT($AX$11)</formula1>
    </dataValidation>
    <dataValidation type="list" allowBlank="1" showInputMessage="1" showErrorMessage="1" sqref="X2:X30 Y21:Y24 Y5:Y10 Y26:Y30 Y2:Y3">
      <formula1>INDIRECT($AX$1)</formula1>
    </dataValidation>
    <dataValidation type="list" allowBlank="1" showInputMessage="1" showErrorMessage="1" sqref="N2:N30">
      <formula1>INDIRECT($AX$3)</formula1>
    </dataValidation>
    <dataValidation type="list" allowBlank="1" showInputMessage="1" showErrorMessage="1" sqref="L2:L30">
      <formula1>INDIRECT($AX$5)</formula1>
    </dataValidation>
    <dataValidation type="list" allowBlank="1" showInputMessage="1" showErrorMessage="1" sqref="AA2:AA30">
      <formula1>INDIRECT($AX$8)</formula1>
    </dataValidation>
    <dataValidation type="list" allowBlank="1" showInputMessage="1" showErrorMessage="1" sqref="W2:W30">
      <formula1>INDIRECT($AX$12)</formula1>
    </dataValidation>
    <dataValidation type="list" allowBlank="1" showInputMessage="1" showErrorMessage="1" sqref="AD2:AD30">
      <formula1>INDIRECT($AX$13)</formula1>
    </dataValidation>
    <dataValidation type="list" allowBlank="1" showInputMessage="1" showErrorMessage="1" sqref="AE2:AE30">
      <formula1>INDIRECT($AX$14)</formula1>
    </dataValidation>
    <dataValidation type="decimal" allowBlank="1" showInputMessage="1" showErrorMessage="1" sqref="AF2:AF30">
      <formula1>0</formula1>
      <formula2>2</formula2>
    </dataValidation>
    <dataValidation type="list" allowBlank="1" showInputMessage="1" showErrorMessage="1" sqref="F15:F57">
      <formula1>INDIRECT($F$13)</formula1>
    </dataValidation>
    <dataValidation type="decimal" allowBlank="1" showInputMessage="1" showErrorMessage="1" sqref="AG2:AG30">
      <formula1>0</formula1>
      <formula2>1</formula2>
    </dataValidation>
  </dataValidations>
  <pageMargins left="0.7" right="0.7" top="0.78740157499999996" bottom="0.78740157499999996" header="0.3" footer="0.3"/>
  <pageSetup paperSize="9" orientation="portrait" r:id="rId1"/>
  <tableParts count="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N65"/>
  <sheetViews>
    <sheetView zoomScale="50" zoomScaleNormal="50" workbookViewId="0">
      <selection activeCell="A37" sqref="A37"/>
    </sheetView>
  </sheetViews>
  <sheetFormatPr baseColWidth="10" defaultRowHeight="14.4" x14ac:dyDescent="0.3"/>
  <cols>
    <col min="1" max="2" width="12.6640625" customWidth="1"/>
    <col min="3" max="3" width="0.44140625" customWidth="1"/>
    <col min="4" max="4" width="11.33203125" bestFit="1" customWidth="1"/>
    <col min="5" max="5" width="0.44140625" customWidth="1"/>
    <col min="6" max="6" width="18.5546875" bestFit="1" customWidth="1"/>
    <col min="7" max="7" width="0.44140625" customWidth="1"/>
    <col min="8" max="8" width="15.6640625" customWidth="1"/>
    <col min="9" max="9" width="0.44140625" customWidth="1"/>
    <col min="10" max="10" width="15.6640625" customWidth="1"/>
    <col min="11" max="11" width="0.44140625" customWidth="1"/>
    <col min="12" max="12" width="20.6640625" customWidth="1"/>
    <col min="13" max="13" width="0.44140625" customWidth="1"/>
    <col min="14" max="14" width="20.6640625" customWidth="1"/>
    <col min="15" max="15" width="0.44140625" customWidth="1"/>
    <col min="16" max="16" width="15.6640625" customWidth="1"/>
    <col min="17" max="17" width="0.44140625" customWidth="1"/>
    <col min="18" max="18" width="15.6640625" customWidth="1"/>
    <col min="19" max="19" width="0.44140625" customWidth="1"/>
    <col min="20" max="20" width="15.6640625" customWidth="1"/>
    <col min="21" max="21" width="0.44140625" customWidth="1"/>
    <col min="22" max="22" width="15.6640625" customWidth="1"/>
    <col min="23" max="23" width="0.44140625" customWidth="1"/>
    <col min="24" max="24" width="15.6640625" customWidth="1"/>
    <col min="25" max="25" width="0.44140625" customWidth="1"/>
    <col min="26" max="26" width="15.6640625" customWidth="1"/>
    <col min="27" max="27" width="0.44140625" customWidth="1"/>
    <col min="28" max="28" width="15.6640625" customWidth="1"/>
    <col min="29" max="29" width="0.44140625" customWidth="1"/>
    <col min="30" max="30" width="15.6640625" customWidth="1"/>
    <col min="31" max="31" width="0.44140625" customWidth="1"/>
    <col min="32" max="32" width="15.6640625" customWidth="1"/>
    <col min="33" max="33" width="0.44140625" customWidth="1"/>
    <col min="34" max="34" width="15.6640625" customWidth="1"/>
    <col min="35" max="35" width="0.44140625" customWidth="1"/>
    <col min="36" max="36" width="15.6640625" customWidth="1"/>
    <col min="37" max="37" width="0.44140625" customWidth="1"/>
    <col min="38" max="38" width="15.6640625" customWidth="1"/>
    <col min="39" max="39" width="0.44140625" customWidth="1"/>
    <col min="40" max="40" width="15.6640625" customWidth="1"/>
    <col min="41" max="41" width="0.44140625" customWidth="1"/>
    <col min="42" max="42" width="15.6640625" customWidth="1"/>
    <col min="43" max="43" width="0.44140625" customWidth="1"/>
    <col min="44" max="44" width="15.6640625" customWidth="1"/>
    <col min="45" max="45" width="0.44140625" customWidth="1"/>
    <col min="46" max="46" width="15.6640625" customWidth="1"/>
    <col min="47" max="47" width="0.44140625" customWidth="1"/>
    <col min="48" max="48" width="15.6640625" customWidth="1"/>
    <col min="49" max="49" width="0.44140625" customWidth="1"/>
    <col min="50" max="50" width="15.6640625" customWidth="1"/>
    <col min="51" max="51" width="0.44140625" customWidth="1"/>
    <col min="52" max="52" width="15.6640625" customWidth="1"/>
    <col min="53" max="53" width="0.44140625" customWidth="1"/>
    <col min="54" max="54" width="15.6640625" customWidth="1"/>
    <col min="55" max="55" width="0.44140625" customWidth="1"/>
    <col min="56" max="56" width="15.6640625" customWidth="1"/>
    <col min="57" max="57" width="0.44140625" customWidth="1"/>
    <col min="58" max="58" width="15.6640625" customWidth="1"/>
    <col min="59" max="59" width="0.44140625" customWidth="1"/>
    <col min="60" max="60" width="15.6640625" customWidth="1"/>
    <col min="61" max="61" width="0.44140625" customWidth="1"/>
    <col min="62" max="62" width="15.6640625" customWidth="1"/>
    <col min="63" max="63" width="0.44140625" customWidth="1"/>
    <col min="64" max="64" width="15.6640625" customWidth="1"/>
    <col min="65" max="65" width="0.44140625" customWidth="1"/>
    <col min="66" max="66" width="15.6640625" customWidth="1"/>
    <col min="67" max="67" width="0.44140625" customWidth="1"/>
  </cols>
  <sheetData>
    <row r="1" spans="1:66" x14ac:dyDescent="0.3">
      <c r="A1" s="218">
        <f>Resultatmappe!$C$10</f>
        <v>0</v>
      </c>
      <c r="B1" s="218">
        <f>Resultatmappe!$E$10</f>
        <v>0</v>
      </c>
      <c r="C1" s="219"/>
      <c r="D1" s="219" t="str">
        <f>Resultatmappe!$B$49</f>
        <v>Version: 3.1, 06-2022</v>
      </c>
      <c r="E1" s="219"/>
      <c r="F1" s="219"/>
      <c r="G1" s="219"/>
      <c r="H1" t="s">
        <v>204</v>
      </c>
      <c r="J1" t="s">
        <v>205</v>
      </c>
      <c r="L1" t="s">
        <v>206</v>
      </c>
      <c r="N1" t="s">
        <v>207</v>
      </c>
      <c r="P1" t="s">
        <v>208</v>
      </c>
      <c r="R1" t="s">
        <v>209</v>
      </c>
      <c r="T1" t="s">
        <v>210</v>
      </c>
      <c r="V1" t="s">
        <v>211</v>
      </c>
      <c r="X1" t="s">
        <v>212</v>
      </c>
      <c r="Z1" t="s">
        <v>213</v>
      </c>
      <c r="AB1" t="s">
        <v>214</v>
      </c>
      <c r="AD1" t="s">
        <v>215</v>
      </c>
      <c r="AF1" t="s">
        <v>216</v>
      </c>
      <c r="AH1" t="s">
        <v>217</v>
      </c>
      <c r="AJ1" t="s">
        <v>218</v>
      </c>
      <c r="AL1" t="s">
        <v>219</v>
      </c>
      <c r="AN1" t="s">
        <v>220</v>
      </c>
      <c r="AP1" t="s">
        <v>221</v>
      </c>
      <c r="AR1" t="s">
        <v>222</v>
      </c>
      <c r="AT1" t="s">
        <v>223</v>
      </c>
      <c r="AV1" t="s">
        <v>224</v>
      </c>
      <c r="AX1" t="s">
        <v>225</v>
      </c>
      <c r="AZ1" t="s">
        <v>226</v>
      </c>
      <c r="BB1" t="s">
        <v>227</v>
      </c>
      <c r="BD1" t="s">
        <v>228</v>
      </c>
      <c r="BF1" t="s">
        <v>229</v>
      </c>
      <c r="BH1" t="s">
        <v>230</v>
      </c>
      <c r="BJ1" t="s">
        <v>231</v>
      </c>
      <c r="BL1" t="s">
        <v>232</v>
      </c>
      <c r="BN1" t="s">
        <v>233</v>
      </c>
    </row>
    <row r="2" spans="1:66" x14ac:dyDescent="0.3">
      <c r="A2" s="218" t="str">
        <f>Resultatmappe!$C$11</f>
        <v>Beckenried</v>
      </c>
      <c r="B2" s="218">
        <f>Resultatmappe!$C$12</f>
        <v>0</v>
      </c>
      <c r="C2" s="219"/>
      <c r="D2" s="219"/>
      <c r="E2" s="219"/>
      <c r="F2" s="219"/>
      <c r="G2" s="219"/>
      <c r="H2" t="str">
        <f>Resultatmappe!$G$16</f>
        <v>2. OS</v>
      </c>
      <c r="J2" t="str">
        <f>Resultatmappe!$Q$16</f>
        <v>2. OS</v>
      </c>
      <c r="L2" t="str">
        <f>Resultatmappe!$AA$16</f>
        <v>2. OS</v>
      </c>
      <c r="N2" t="str">
        <f>Resultatmappe!$AK$16</f>
        <v>2. OS</v>
      </c>
      <c r="P2" t="str">
        <f>Resultatmappe!$AU$16</f>
        <v>2. OS</v>
      </c>
      <c r="R2" t="str">
        <f>Resultatmappe!$BE$16</f>
        <v>2. OS</v>
      </c>
      <c r="T2" t="str">
        <f>Resultatmappe!$BO$16</f>
        <v>2. OS</v>
      </c>
      <c r="V2" t="str">
        <f>Resultatmappe!$BY$16</f>
        <v>2. OS</v>
      </c>
      <c r="X2" t="str">
        <f>Resultatmappe!$CI$16</f>
        <v>2. OS</v>
      </c>
      <c r="Z2" t="str">
        <f>Resultatmappe!$FE$16</f>
        <v>2. OS</v>
      </c>
      <c r="AB2" t="str">
        <f>Resultatmappe!$FK$16</f>
        <v>2. OS</v>
      </c>
      <c r="AD2" t="str">
        <f>Resultatmappe!$FQ$16</f>
        <v>2. OS</v>
      </c>
      <c r="AF2" t="str">
        <f>Resultatmappe!$FW$16</f>
        <v>2. OS</v>
      </c>
      <c r="AH2" t="str">
        <f>Resultatmappe!$GC$16</f>
        <v>2. OS</v>
      </c>
      <c r="AJ2" t="str">
        <f>Resultatmappe!$GI$16</f>
        <v>2. OS</v>
      </c>
      <c r="AN2" t="str">
        <f>Resultatmappe!$JJ$16</f>
        <v>2. OS</v>
      </c>
      <c r="AP2" t="str">
        <f>Resultatmappe!$KI$16</f>
        <v>2. OS</v>
      </c>
      <c r="AR2" t="str">
        <f>Resultatmappe!$KS$16</f>
        <v>2. OS</v>
      </c>
      <c r="AT2" t="str">
        <f>Resultatmappe!$LC$16</f>
        <v>2. OS</v>
      </c>
      <c r="AV2" t="str">
        <f>Resultatmappe!$ML$16</f>
        <v>2. OS</v>
      </c>
      <c r="AX2" t="str">
        <f>Resultatmappe!$MV$16</f>
        <v>2. OS</v>
      </c>
      <c r="AZ2" t="str">
        <f>Resultatmappe!$NF$16</f>
        <v>2. OS</v>
      </c>
      <c r="BB2" t="str">
        <f>Resultatmappe!$NP$16</f>
        <v>2. OS</v>
      </c>
      <c r="BD2" t="str">
        <f>Resultatmappe!$NZ$16</f>
        <v>2. OS</v>
      </c>
      <c r="BF2" t="str">
        <f>Resultatmappe!$TK$16</f>
        <v>2. OS</v>
      </c>
      <c r="BH2" t="str">
        <f>Resultatmappe!$TM$16</f>
        <v>2. OS</v>
      </c>
      <c r="BJ2" t="str">
        <f>Resultatmappe!$UH$16</f>
        <v>2. OS</v>
      </c>
      <c r="BL2" t="str">
        <f>Resultatmappe!$UQ$16</f>
        <v>2. OS</v>
      </c>
      <c r="BN2" t="str">
        <f>Resultatmappe!$VL$16</f>
        <v>2. OS</v>
      </c>
    </row>
    <row r="3" spans="1:66" x14ac:dyDescent="0.3">
      <c r="A3" s="218">
        <f>Resultatmappe!$C$13</f>
        <v>0</v>
      </c>
      <c r="B3" s="218">
        <f>Resultatmappe!$C$14</f>
        <v>0</v>
      </c>
      <c r="C3" s="219"/>
      <c r="D3" s="219" t="s">
        <v>203</v>
      </c>
      <c r="E3" s="219"/>
      <c r="F3" s="219" t="s">
        <v>202</v>
      </c>
      <c r="G3" s="219"/>
      <c r="H3" t="s">
        <v>23</v>
      </c>
      <c r="J3" t="s">
        <v>24</v>
      </c>
      <c r="L3" t="s">
        <v>49</v>
      </c>
      <c r="N3" t="s">
        <v>50</v>
      </c>
      <c r="P3" t="s">
        <v>4</v>
      </c>
      <c r="R3" t="s">
        <v>5</v>
      </c>
      <c r="T3" t="s">
        <v>0</v>
      </c>
      <c r="V3" t="s">
        <v>1</v>
      </c>
      <c r="X3" t="s">
        <v>2</v>
      </c>
      <c r="Z3" t="s">
        <v>132</v>
      </c>
      <c r="AB3" t="s">
        <v>133</v>
      </c>
      <c r="AD3" t="s">
        <v>134</v>
      </c>
      <c r="AF3" t="s">
        <v>135</v>
      </c>
      <c r="AH3" t="s">
        <v>136</v>
      </c>
      <c r="AJ3" t="s">
        <v>137</v>
      </c>
      <c r="AL3" t="s">
        <v>201</v>
      </c>
      <c r="AN3" t="s">
        <v>131</v>
      </c>
      <c r="AP3" t="s">
        <v>9</v>
      </c>
      <c r="AR3" t="s">
        <v>21</v>
      </c>
      <c r="AT3" t="s">
        <v>10</v>
      </c>
      <c r="AV3" t="s">
        <v>12</v>
      </c>
      <c r="AX3" t="s">
        <v>13</v>
      </c>
      <c r="AZ3" t="s">
        <v>14</v>
      </c>
      <c r="BB3" t="s">
        <v>15</v>
      </c>
      <c r="BD3" t="s">
        <v>16</v>
      </c>
      <c r="BF3" t="s">
        <v>83</v>
      </c>
      <c r="BH3" t="s">
        <v>62</v>
      </c>
      <c r="BJ3" t="s">
        <v>18</v>
      </c>
      <c r="BL3" t="s">
        <v>19</v>
      </c>
      <c r="BN3" t="s">
        <v>72</v>
      </c>
    </row>
    <row r="4" spans="1:66" x14ac:dyDescent="0.3">
      <c r="A4" s="3">
        <f t="array" ref="A4:A33">Resultatmappe!B19:B48</f>
        <v>0</v>
      </c>
      <c r="B4" s="3">
        <f t="array" ref="B4:B33">Resultatmappe!C19:C48</f>
        <v>0</v>
      </c>
      <c r="C4" s="3"/>
      <c r="D4" s="3">
        <f>Resultatmappe!E19</f>
        <v>0</v>
      </c>
      <c r="E4" s="3"/>
      <c r="F4" s="3" t="str">
        <f>Resultatmappe!TH19</f>
        <v>Disziplin</v>
      </c>
      <c r="G4" s="3"/>
      <c r="H4" s="198">
        <f>Resultatmappe!G19</f>
        <v>0</v>
      </c>
      <c r="J4" s="198">
        <f>Resultatmappe!Q19</f>
        <v>0</v>
      </c>
      <c r="L4" s="198">
        <f>Resultatmappe!AA19</f>
        <v>0</v>
      </c>
      <c r="N4" s="197">
        <f>Resultatmappe!AK19</f>
        <v>0</v>
      </c>
      <c r="P4" s="197">
        <f>Resultatmappe!AU19</f>
        <v>0</v>
      </c>
      <c r="R4" s="197">
        <f>Resultatmappe!BE19</f>
        <v>0</v>
      </c>
      <c r="T4" s="198">
        <f>Resultatmappe!BO19</f>
        <v>0</v>
      </c>
      <c r="V4" s="198">
        <f>Resultatmappe!BY19</f>
        <v>0</v>
      </c>
      <c r="X4" s="198">
        <f>Resultatmappe!CI19</f>
        <v>0</v>
      </c>
      <c r="Z4" s="197">
        <f>Resultatmappe!FE19</f>
        <v>0</v>
      </c>
      <c r="AB4" s="197">
        <f>Resultatmappe!FK19</f>
        <v>0</v>
      </c>
      <c r="AD4" s="197">
        <f>Resultatmappe!FQ19</f>
        <v>0</v>
      </c>
      <c r="AF4" s="197">
        <f>Resultatmappe!FW19</f>
        <v>0</v>
      </c>
      <c r="AH4" s="197">
        <f>Resultatmappe!GC19</f>
        <v>0</v>
      </c>
      <c r="AJ4" s="197">
        <f>Resultatmappe!GI19</f>
        <v>0</v>
      </c>
      <c r="AL4" s="197" t="str">
        <f>Resultatmappe!IZ19</f>
        <v>Zu wenige Noten</v>
      </c>
      <c r="AN4" s="197">
        <f>Resultatmappe!JJ19</f>
        <v>0</v>
      </c>
      <c r="AP4" s="197">
        <f>Resultatmappe!KI19</f>
        <v>0</v>
      </c>
      <c r="AR4" s="197">
        <f>Resultatmappe!KS19</f>
        <v>0</v>
      </c>
      <c r="AT4" s="197">
        <f>Resultatmappe!LC19</f>
        <v>0</v>
      </c>
      <c r="AV4" s="198">
        <f>Resultatmappe!ML19</f>
        <v>0</v>
      </c>
      <c r="AX4" s="198">
        <f>Resultatmappe!MV19</f>
        <v>0</v>
      </c>
      <c r="AZ4" s="198">
        <f>Resultatmappe!NF19</f>
        <v>0</v>
      </c>
      <c r="BB4" s="198">
        <f>Resultatmappe!NP19</f>
        <v>0</v>
      </c>
      <c r="BD4" s="197">
        <f>Resultatmappe!NZ19</f>
        <v>0</v>
      </c>
      <c r="BF4">
        <f>Resultatmappe!TK19</f>
        <v>0</v>
      </c>
      <c r="BH4" s="198">
        <f>Resultatmappe!TM19</f>
        <v>0</v>
      </c>
      <c r="BJ4" s="197">
        <f>Resultatmappe!UH19</f>
        <v>0</v>
      </c>
      <c r="BL4" s="197">
        <f>Resultatmappe!UQ19</f>
        <v>0</v>
      </c>
      <c r="BN4" s="198">
        <f>Resultatmappe!VL19</f>
        <v>0</v>
      </c>
    </row>
    <row r="5" spans="1:66" x14ac:dyDescent="0.3">
      <c r="A5" s="3">
        <v>0</v>
      </c>
      <c r="B5" s="3">
        <v>0</v>
      </c>
      <c r="C5" s="3"/>
      <c r="D5" s="3">
        <f>Resultatmappe!E20</f>
        <v>0</v>
      </c>
      <c r="E5" s="3"/>
      <c r="F5" s="3" t="str">
        <f>Resultatmappe!TH20</f>
        <v>Disziplin</v>
      </c>
      <c r="G5" s="3"/>
      <c r="H5" s="198">
        <f>Resultatmappe!G20</f>
        <v>0</v>
      </c>
      <c r="J5" s="198">
        <f>Resultatmappe!Q20</f>
        <v>0</v>
      </c>
      <c r="L5" s="198">
        <f>Resultatmappe!AA20</f>
        <v>0</v>
      </c>
      <c r="N5" s="197">
        <f>Resultatmappe!AK20</f>
        <v>0</v>
      </c>
      <c r="P5" s="197">
        <f>Resultatmappe!AU20</f>
        <v>0</v>
      </c>
      <c r="R5" s="197">
        <f>Resultatmappe!BE20</f>
        <v>0</v>
      </c>
      <c r="T5" s="198">
        <f>Resultatmappe!BO20</f>
        <v>0</v>
      </c>
      <c r="V5" s="198">
        <f>Resultatmappe!BY20</f>
        <v>0</v>
      </c>
      <c r="X5" s="198">
        <f>Resultatmappe!CI20</f>
        <v>0</v>
      </c>
      <c r="Z5" s="197">
        <f>Resultatmappe!FE20</f>
        <v>0</v>
      </c>
      <c r="AB5" s="197">
        <f>Resultatmappe!FK20</f>
        <v>0</v>
      </c>
      <c r="AD5" s="197">
        <f>Resultatmappe!FQ20</f>
        <v>0</v>
      </c>
      <c r="AF5" s="197">
        <f>Resultatmappe!FW20</f>
        <v>0</v>
      </c>
      <c r="AH5" s="197">
        <f>Resultatmappe!GC20</f>
        <v>0</v>
      </c>
      <c r="AJ5" s="197">
        <f>Resultatmappe!GI20</f>
        <v>0</v>
      </c>
      <c r="AL5" s="197" t="str">
        <f>Resultatmappe!IZ20</f>
        <v>Zu wenige Noten</v>
      </c>
      <c r="AN5" s="197">
        <f>Resultatmappe!JJ20</f>
        <v>0</v>
      </c>
      <c r="AP5" s="197">
        <f>Resultatmappe!KI20</f>
        <v>0</v>
      </c>
      <c r="AR5" s="197">
        <f>Resultatmappe!KS20</f>
        <v>0</v>
      </c>
      <c r="AT5" s="197">
        <f>Resultatmappe!LC20</f>
        <v>0</v>
      </c>
      <c r="AV5" s="198">
        <f>Resultatmappe!ML20</f>
        <v>0</v>
      </c>
      <c r="AX5" s="198">
        <f>Resultatmappe!MV20</f>
        <v>0</v>
      </c>
      <c r="AZ5" s="198">
        <f>Resultatmappe!NF20</f>
        <v>0</v>
      </c>
      <c r="BB5" s="198">
        <f>Resultatmappe!NP20</f>
        <v>0</v>
      </c>
      <c r="BD5" s="197">
        <f>Resultatmappe!NZ20</f>
        <v>0</v>
      </c>
      <c r="BF5">
        <f>Resultatmappe!TK20</f>
        <v>0</v>
      </c>
      <c r="BH5" s="198">
        <f>Resultatmappe!TM20</f>
        <v>0</v>
      </c>
      <c r="BJ5" s="197">
        <f>Resultatmappe!UH20</f>
        <v>0</v>
      </c>
      <c r="BL5" s="197">
        <f>Resultatmappe!UQ20</f>
        <v>0</v>
      </c>
      <c r="BN5" s="198">
        <f>Resultatmappe!VL20</f>
        <v>0</v>
      </c>
    </row>
    <row r="6" spans="1:66" x14ac:dyDescent="0.3">
      <c r="A6" s="3">
        <v>0</v>
      </c>
      <c r="B6" s="3">
        <v>0</v>
      </c>
      <c r="C6" s="3"/>
      <c r="D6" s="3">
        <f>Resultatmappe!E21</f>
        <v>0</v>
      </c>
      <c r="E6" s="3"/>
      <c r="F6" s="3" t="str">
        <f>Resultatmappe!TH21</f>
        <v>Disziplin</v>
      </c>
      <c r="G6" s="3"/>
      <c r="H6" s="198">
        <f>Resultatmappe!G21</f>
        <v>0</v>
      </c>
      <c r="J6" s="198">
        <f>Resultatmappe!Q21</f>
        <v>0</v>
      </c>
      <c r="L6" s="198">
        <f>Resultatmappe!AA21</f>
        <v>0</v>
      </c>
      <c r="N6" s="197">
        <f>Resultatmappe!AK21</f>
        <v>0</v>
      </c>
      <c r="P6" s="197">
        <f>Resultatmappe!AU21</f>
        <v>0</v>
      </c>
      <c r="R6" s="197">
        <f>Resultatmappe!BE21</f>
        <v>0</v>
      </c>
      <c r="T6" s="198">
        <f>Resultatmappe!BO21</f>
        <v>0</v>
      </c>
      <c r="V6" s="198">
        <f>Resultatmappe!BY21</f>
        <v>0</v>
      </c>
      <c r="X6" s="198">
        <f>Resultatmappe!CI21</f>
        <v>0</v>
      </c>
      <c r="Z6" s="197">
        <f>Resultatmappe!FE21</f>
        <v>0</v>
      </c>
      <c r="AB6" s="197">
        <f>Resultatmappe!FK21</f>
        <v>0</v>
      </c>
      <c r="AD6" s="197">
        <f>Resultatmappe!FQ21</f>
        <v>0</v>
      </c>
      <c r="AF6" s="197">
        <f>Resultatmappe!FW21</f>
        <v>0</v>
      </c>
      <c r="AH6" s="197">
        <f>Resultatmappe!GC21</f>
        <v>0</v>
      </c>
      <c r="AJ6" s="197">
        <f>Resultatmappe!GI21</f>
        <v>0</v>
      </c>
      <c r="AL6" s="197" t="str">
        <f>Resultatmappe!IZ21</f>
        <v>Zu wenige Noten</v>
      </c>
      <c r="AN6" s="197">
        <f>Resultatmappe!JJ21</f>
        <v>0</v>
      </c>
      <c r="AP6" s="197">
        <f>Resultatmappe!KI21</f>
        <v>0</v>
      </c>
      <c r="AR6" s="197">
        <f>Resultatmappe!KS21</f>
        <v>0</v>
      </c>
      <c r="AT6" s="197">
        <f>Resultatmappe!LC21</f>
        <v>0</v>
      </c>
      <c r="AV6" s="198">
        <f>Resultatmappe!ML21</f>
        <v>0</v>
      </c>
      <c r="AX6" s="198">
        <f>Resultatmappe!MV21</f>
        <v>0</v>
      </c>
      <c r="AZ6" s="198">
        <f>Resultatmappe!NF21</f>
        <v>0</v>
      </c>
      <c r="BB6" s="198">
        <f>Resultatmappe!NP21</f>
        <v>0</v>
      </c>
      <c r="BD6" s="197">
        <f>Resultatmappe!NZ21</f>
        <v>0</v>
      </c>
      <c r="BF6">
        <f>Resultatmappe!TK21</f>
        <v>0</v>
      </c>
      <c r="BH6" s="198">
        <f>Resultatmappe!TM21</f>
        <v>0</v>
      </c>
      <c r="BJ6" s="197">
        <f>Resultatmappe!UH21</f>
        <v>0</v>
      </c>
      <c r="BL6" s="197">
        <f>Resultatmappe!UQ21</f>
        <v>0</v>
      </c>
      <c r="BN6" s="198">
        <f>Resultatmappe!VL21</f>
        <v>0</v>
      </c>
    </row>
    <row r="7" spans="1:66" x14ac:dyDescent="0.3">
      <c r="A7" s="3">
        <v>0</v>
      </c>
      <c r="B7" s="3">
        <v>0</v>
      </c>
      <c r="C7" s="3"/>
      <c r="D7" s="3">
        <f>Resultatmappe!E22</f>
        <v>0</v>
      </c>
      <c r="E7" s="3"/>
      <c r="F7" s="3" t="str">
        <f>Resultatmappe!TH22</f>
        <v>Disziplin</v>
      </c>
      <c r="G7" s="3"/>
      <c r="H7" s="198">
        <f>Resultatmappe!G22</f>
        <v>0</v>
      </c>
      <c r="J7" s="198">
        <f>Resultatmappe!Q22</f>
        <v>0</v>
      </c>
      <c r="L7" s="198">
        <f>Resultatmappe!AA22</f>
        <v>0</v>
      </c>
      <c r="N7" s="197">
        <f>Resultatmappe!AK22</f>
        <v>0</v>
      </c>
      <c r="P7" s="197">
        <f>Resultatmappe!AU22</f>
        <v>0</v>
      </c>
      <c r="R7" s="197">
        <f>Resultatmappe!BE22</f>
        <v>0</v>
      </c>
      <c r="T7" s="198">
        <f>Resultatmappe!BO22</f>
        <v>0</v>
      </c>
      <c r="V7" s="198">
        <f>Resultatmappe!BY22</f>
        <v>0</v>
      </c>
      <c r="X7" s="198">
        <f>Resultatmappe!CI22</f>
        <v>0</v>
      </c>
      <c r="Z7" s="197">
        <f>Resultatmappe!FE22</f>
        <v>0</v>
      </c>
      <c r="AB7" s="197">
        <f>Resultatmappe!FK22</f>
        <v>0</v>
      </c>
      <c r="AD7" s="197">
        <f>Resultatmappe!FQ22</f>
        <v>0</v>
      </c>
      <c r="AF7" s="197">
        <f>Resultatmappe!FW22</f>
        <v>0</v>
      </c>
      <c r="AH7" s="197">
        <f>Resultatmappe!GC22</f>
        <v>0</v>
      </c>
      <c r="AJ7" s="197">
        <f>Resultatmappe!GI22</f>
        <v>0</v>
      </c>
      <c r="AL7" s="197" t="str">
        <f>Resultatmappe!IZ22</f>
        <v>Zu wenige Noten</v>
      </c>
      <c r="AN7" s="197">
        <f>Resultatmappe!JJ22</f>
        <v>0</v>
      </c>
      <c r="AP7" s="197">
        <f>Resultatmappe!KI22</f>
        <v>0</v>
      </c>
      <c r="AR7" s="197">
        <f>Resultatmappe!KS22</f>
        <v>0</v>
      </c>
      <c r="AT7" s="197">
        <f>Resultatmappe!LC22</f>
        <v>0</v>
      </c>
      <c r="AV7" s="198">
        <f>Resultatmappe!ML22</f>
        <v>0</v>
      </c>
      <c r="AX7" s="198">
        <f>Resultatmappe!MV22</f>
        <v>0</v>
      </c>
      <c r="AZ7" s="198">
        <f>Resultatmappe!NF22</f>
        <v>0</v>
      </c>
      <c r="BB7" s="198">
        <f>Resultatmappe!NP22</f>
        <v>0</v>
      </c>
      <c r="BD7" s="197">
        <f>Resultatmappe!NZ22</f>
        <v>0</v>
      </c>
      <c r="BF7">
        <f>Resultatmappe!TK22</f>
        <v>0</v>
      </c>
      <c r="BH7" s="198">
        <f>Resultatmappe!TM22</f>
        <v>0</v>
      </c>
      <c r="BJ7" s="197">
        <f>Resultatmappe!UH22</f>
        <v>0</v>
      </c>
      <c r="BL7" s="197">
        <f>Resultatmappe!UQ22</f>
        <v>0</v>
      </c>
      <c r="BN7" s="198">
        <f>Resultatmappe!VL22</f>
        <v>0</v>
      </c>
    </row>
    <row r="8" spans="1:66" x14ac:dyDescent="0.3">
      <c r="A8" s="3">
        <v>0</v>
      </c>
      <c r="B8" s="3">
        <v>0</v>
      </c>
      <c r="C8" s="3"/>
      <c r="D8" s="3">
        <f>Resultatmappe!E23</f>
        <v>0</v>
      </c>
      <c r="E8" s="3"/>
      <c r="F8" s="3" t="str">
        <f>Resultatmappe!TH23</f>
        <v>Disziplin</v>
      </c>
      <c r="G8" s="3"/>
      <c r="H8" s="198">
        <f>Resultatmappe!G23</f>
        <v>0</v>
      </c>
      <c r="J8" s="198">
        <f>Resultatmappe!Q23</f>
        <v>0</v>
      </c>
      <c r="L8" s="198">
        <f>Resultatmappe!AA23</f>
        <v>0</v>
      </c>
      <c r="N8" s="197">
        <f>Resultatmappe!AK23</f>
        <v>0</v>
      </c>
      <c r="P8" s="197">
        <f>Resultatmappe!AU23</f>
        <v>0</v>
      </c>
      <c r="R8" s="197">
        <f>Resultatmappe!BE23</f>
        <v>0</v>
      </c>
      <c r="T8" s="198">
        <f>Resultatmappe!BO23</f>
        <v>0</v>
      </c>
      <c r="V8" s="198">
        <f>Resultatmappe!BY23</f>
        <v>0</v>
      </c>
      <c r="X8" s="198">
        <f>Resultatmappe!CI23</f>
        <v>0</v>
      </c>
      <c r="Z8" s="197">
        <f>Resultatmappe!FE23</f>
        <v>0</v>
      </c>
      <c r="AB8" s="197">
        <f>Resultatmappe!FK23</f>
        <v>0</v>
      </c>
      <c r="AD8" s="197">
        <f>Resultatmappe!FQ23</f>
        <v>0</v>
      </c>
      <c r="AF8" s="197">
        <f>Resultatmappe!FW23</f>
        <v>0</v>
      </c>
      <c r="AH8" s="197">
        <f>Resultatmappe!GC23</f>
        <v>0</v>
      </c>
      <c r="AJ8" s="197">
        <f>Resultatmappe!GI23</f>
        <v>0</v>
      </c>
      <c r="AL8" s="197" t="str">
        <f>Resultatmappe!IZ23</f>
        <v>Zu wenige Noten</v>
      </c>
      <c r="AN8" s="197">
        <f>Resultatmappe!JJ23</f>
        <v>0</v>
      </c>
      <c r="AP8" s="197">
        <f>Resultatmappe!KI23</f>
        <v>0</v>
      </c>
      <c r="AR8" s="197">
        <f>Resultatmappe!KS23</f>
        <v>0</v>
      </c>
      <c r="AT8" s="197">
        <f>Resultatmappe!LC23</f>
        <v>0</v>
      </c>
      <c r="AV8" s="198">
        <f>Resultatmappe!ML23</f>
        <v>0</v>
      </c>
      <c r="AX8" s="198">
        <f>Resultatmappe!MV23</f>
        <v>0</v>
      </c>
      <c r="AZ8" s="198">
        <f>Resultatmappe!NF23</f>
        <v>0</v>
      </c>
      <c r="BB8" s="198">
        <f>Resultatmappe!NP23</f>
        <v>0</v>
      </c>
      <c r="BD8" s="197">
        <f>Resultatmappe!NZ23</f>
        <v>0</v>
      </c>
      <c r="BF8">
        <f>Resultatmappe!TK23</f>
        <v>0</v>
      </c>
      <c r="BH8" s="198">
        <f>Resultatmappe!TM23</f>
        <v>0</v>
      </c>
      <c r="BJ8" s="197">
        <f>Resultatmappe!UH23</f>
        <v>0</v>
      </c>
      <c r="BL8" s="197">
        <f>Resultatmappe!UQ23</f>
        <v>0</v>
      </c>
      <c r="BN8" s="198">
        <f>Resultatmappe!VL23</f>
        <v>0</v>
      </c>
    </row>
    <row r="9" spans="1:66" x14ac:dyDescent="0.3">
      <c r="A9" s="3">
        <v>0</v>
      </c>
      <c r="B9" s="3">
        <v>0</v>
      </c>
      <c r="C9" s="3"/>
      <c r="D9" s="3">
        <f>Resultatmappe!E24</f>
        <v>0</v>
      </c>
      <c r="E9" s="3"/>
      <c r="F9" s="3" t="str">
        <f>Resultatmappe!TH24</f>
        <v>Disziplin</v>
      </c>
      <c r="G9" s="3"/>
      <c r="H9" s="198">
        <f>Resultatmappe!G24</f>
        <v>0</v>
      </c>
      <c r="J9" s="198">
        <f>Resultatmappe!Q24</f>
        <v>0</v>
      </c>
      <c r="L9" s="198">
        <f>Resultatmappe!AA24</f>
        <v>0</v>
      </c>
      <c r="N9" s="197">
        <f>Resultatmappe!AK24</f>
        <v>0</v>
      </c>
      <c r="P9" s="197">
        <f>Resultatmappe!AU24</f>
        <v>0</v>
      </c>
      <c r="R9" s="197">
        <f>Resultatmappe!BE24</f>
        <v>0</v>
      </c>
      <c r="T9" s="198">
        <f>Resultatmappe!BO24</f>
        <v>0</v>
      </c>
      <c r="V9" s="198">
        <f>Resultatmappe!BY24</f>
        <v>0</v>
      </c>
      <c r="X9" s="198">
        <f>Resultatmappe!CI24</f>
        <v>0</v>
      </c>
      <c r="Z9" s="197">
        <f>Resultatmappe!FE24</f>
        <v>0</v>
      </c>
      <c r="AB9" s="197">
        <f>Resultatmappe!FK24</f>
        <v>0</v>
      </c>
      <c r="AD9" s="197">
        <f>Resultatmappe!FQ24</f>
        <v>0</v>
      </c>
      <c r="AF9" s="197">
        <f>Resultatmappe!FW24</f>
        <v>0</v>
      </c>
      <c r="AH9" s="197">
        <f>Resultatmappe!GC24</f>
        <v>0</v>
      </c>
      <c r="AJ9" s="197">
        <f>Resultatmappe!GI24</f>
        <v>0</v>
      </c>
      <c r="AL9" s="197" t="str">
        <f>Resultatmappe!IZ24</f>
        <v>Zu wenige Noten</v>
      </c>
      <c r="AN9" s="197">
        <f>Resultatmappe!JJ24</f>
        <v>0</v>
      </c>
      <c r="AP9" s="197">
        <f>Resultatmappe!KI24</f>
        <v>0</v>
      </c>
      <c r="AR9" s="197">
        <f>Resultatmappe!KS24</f>
        <v>0</v>
      </c>
      <c r="AT9" s="197">
        <f>Resultatmappe!LC24</f>
        <v>0</v>
      </c>
      <c r="AV9" s="198">
        <f>Resultatmappe!ML24</f>
        <v>0</v>
      </c>
      <c r="AX9" s="198">
        <f>Resultatmappe!MV24</f>
        <v>0</v>
      </c>
      <c r="AZ9" s="198">
        <f>Resultatmappe!NF24</f>
        <v>0</v>
      </c>
      <c r="BB9" s="198">
        <f>Resultatmappe!NP24</f>
        <v>0</v>
      </c>
      <c r="BD9" s="197">
        <f>Resultatmappe!NZ24</f>
        <v>0</v>
      </c>
      <c r="BF9">
        <f>Resultatmappe!TK24</f>
        <v>0</v>
      </c>
      <c r="BH9" s="198">
        <f>Resultatmappe!TM24</f>
        <v>0</v>
      </c>
      <c r="BJ9" s="197">
        <f>Resultatmappe!UH24</f>
        <v>0</v>
      </c>
      <c r="BL9" s="197">
        <f>Resultatmappe!UQ24</f>
        <v>0</v>
      </c>
      <c r="BN9" s="198">
        <f>Resultatmappe!VL24</f>
        <v>0</v>
      </c>
    </row>
    <row r="10" spans="1:66" x14ac:dyDescent="0.3">
      <c r="A10" s="3">
        <v>0</v>
      </c>
      <c r="B10" s="3">
        <v>0</v>
      </c>
      <c r="C10" s="3"/>
      <c r="D10" s="3">
        <f>Resultatmappe!E25</f>
        <v>0</v>
      </c>
      <c r="E10" s="3"/>
      <c r="F10" s="3" t="str">
        <f>Resultatmappe!TH25</f>
        <v>Disziplin</v>
      </c>
      <c r="G10" s="3"/>
      <c r="H10" s="198">
        <f>Resultatmappe!G25</f>
        <v>0</v>
      </c>
      <c r="J10" s="198">
        <f>Resultatmappe!Q25</f>
        <v>0</v>
      </c>
      <c r="L10" s="198">
        <f>Resultatmappe!AA25</f>
        <v>0</v>
      </c>
      <c r="N10" s="197">
        <f>Resultatmappe!AK25</f>
        <v>0</v>
      </c>
      <c r="P10" s="197">
        <f>Resultatmappe!AU25</f>
        <v>0</v>
      </c>
      <c r="R10" s="197">
        <f>Resultatmappe!BE25</f>
        <v>0</v>
      </c>
      <c r="T10" s="198">
        <f>Resultatmappe!BO25</f>
        <v>0</v>
      </c>
      <c r="V10" s="198">
        <f>Resultatmappe!BY25</f>
        <v>0</v>
      </c>
      <c r="X10" s="198">
        <f>Resultatmappe!CI25</f>
        <v>0</v>
      </c>
      <c r="Z10" s="197">
        <f>Resultatmappe!FE25</f>
        <v>0</v>
      </c>
      <c r="AB10" s="197">
        <f>Resultatmappe!FK25</f>
        <v>0</v>
      </c>
      <c r="AD10" s="197">
        <f>Resultatmappe!FQ25</f>
        <v>0</v>
      </c>
      <c r="AF10" s="197">
        <f>Resultatmappe!FW25</f>
        <v>0</v>
      </c>
      <c r="AH10" s="197">
        <f>Resultatmappe!GC25</f>
        <v>0</v>
      </c>
      <c r="AJ10" s="197">
        <f>Resultatmappe!GI25</f>
        <v>0</v>
      </c>
      <c r="AL10" s="197" t="str">
        <f>Resultatmappe!IZ25</f>
        <v>Zu wenige Noten</v>
      </c>
      <c r="AN10" s="197">
        <f>Resultatmappe!JJ25</f>
        <v>0</v>
      </c>
      <c r="AP10" s="197">
        <f>Resultatmappe!KI25</f>
        <v>0</v>
      </c>
      <c r="AR10" s="197">
        <f>Resultatmappe!KS25</f>
        <v>0</v>
      </c>
      <c r="AT10" s="197">
        <f>Resultatmappe!LC25</f>
        <v>0</v>
      </c>
      <c r="AV10" s="198">
        <f>Resultatmappe!ML25</f>
        <v>0</v>
      </c>
      <c r="AX10" s="198">
        <f>Resultatmappe!MV25</f>
        <v>0</v>
      </c>
      <c r="AZ10" s="198">
        <f>Resultatmappe!NF25</f>
        <v>0</v>
      </c>
      <c r="BB10" s="198">
        <f>Resultatmappe!NP25</f>
        <v>0</v>
      </c>
      <c r="BD10" s="197">
        <f>Resultatmappe!NZ25</f>
        <v>0</v>
      </c>
      <c r="BF10">
        <f>Resultatmappe!TK25</f>
        <v>0</v>
      </c>
      <c r="BH10" s="198">
        <f>Resultatmappe!TM25</f>
        <v>0</v>
      </c>
      <c r="BJ10" s="197">
        <f>Resultatmappe!UH25</f>
        <v>0</v>
      </c>
      <c r="BL10" s="197">
        <f>Resultatmappe!UQ25</f>
        <v>0</v>
      </c>
      <c r="BN10" s="198">
        <f>Resultatmappe!VL25</f>
        <v>0</v>
      </c>
    </row>
    <row r="11" spans="1:66" x14ac:dyDescent="0.3">
      <c r="A11" s="3">
        <v>0</v>
      </c>
      <c r="B11" s="3">
        <v>0</v>
      </c>
      <c r="C11" s="3"/>
      <c r="D11" s="3">
        <f>Resultatmappe!E26</f>
        <v>0</v>
      </c>
      <c r="E11" s="3"/>
      <c r="F11" s="3" t="str">
        <f>Resultatmappe!TH26</f>
        <v>Disziplin</v>
      </c>
      <c r="G11" s="3"/>
      <c r="H11" s="198">
        <f>Resultatmappe!G26</f>
        <v>0</v>
      </c>
      <c r="J11" s="198">
        <f>Resultatmappe!Q26</f>
        <v>0</v>
      </c>
      <c r="L11" s="198">
        <f>Resultatmappe!AA26</f>
        <v>0</v>
      </c>
      <c r="N11" s="197">
        <f>Resultatmappe!AK26</f>
        <v>0</v>
      </c>
      <c r="P11" s="197">
        <f>Resultatmappe!AU26</f>
        <v>0</v>
      </c>
      <c r="R11" s="197">
        <f>Resultatmappe!BE26</f>
        <v>0</v>
      </c>
      <c r="T11" s="198">
        <f>Resultatmappe!BO26</f>
        <v>0</v>
      </c>
      <c r="V11" s="198">
        <f>Resultatmappe!BY26</f>
        <v>0</v>
      </c>
      <c r="X11" s="198">
        <f>Resultatmappe!CI26</f>
        <v>0</v>
      </c>
      <c r="Z11" s="197">
        <f>Resultatmappe!FE26</f>
        <v>0</v>
      </c>
      <c r="AB11" s="197">
        <f>Resultatmappe!FK26</f>
        <v>0</v>
      </c>
      <c r="AD11" s="197">
        <f>Resultatmappe!FQ26</f>
        <v>0</v>
      </c>
      <c r="AF11" s="197">
        <f>Resultatmappe!FW26</f>
        <v>0</v>
      </c>
      <c r="AH11" s="197">
        <f>Resultatmappe!GC26</f>
        <v>0</v>
      </c>
      <c r="AJ11" s="197">
        <f>Resultatmappe!GI26</f>
        <v>0</v>
      </c>
      <c r="AL11" s="197" t="str">
        <f>Resultatmappe!IZ26</f>
        <v>Zu wenige Noten</v>
      </c>
      <c r="AN11" s="197">
        <f>Resultatmappe!JJ26</f>
        <v>0</v>
      </c>
      <c r="AP11" s="197">
        <f>Resultatmappe!KI26</f>
        <v>0</v>
      </c>
      <c r="AR11" s="197">
        <f>Resultatmappe!KS26</f>
        <v>0</v>
      </c>
      <c r="AT11" s="197">
        <f>Resultatmappe!LC26</f>
        <v>0</v>
      </c>
      <c r="AV11" s="198">
        <f>Resultatmappe!ML26</f>
        <v>0</v>
      </c>
      <c r="AX11" s="198">
        <f>Resultatmappe!MV26</f>
        <v>0</v>
      </c>
      <c r="AZ11" s="198">
        <f>Resultatmappe!NF26</f>
        <v>0</v>
      </c>
      <c r="BB11" s="198">
        <f>Resultatmappe!NP26</f>
        <v>0</v>
      </c>
      <c r="BD11" s="197">
        <f>Resultatmappe!NZ26</f>
        <v>0</v>
      </c>
      <c r="BF11">
        <f>Resultatmappe!TK26</f>
        <v>0</v>
      </c>
      <c r="BH11" s="198">
        <f>Resultatmappe!TM26</f>
        <v>0</v>
      </c>
      <c r="BJ11" s="197">
        <f>Resultatmappe!UH26</f>
        <v>0</v>
      </c>
      <c r="BL11" s="197">
        <f>Resultatmappe!UQ26</f>
        <v>0</v>
      </c>
      <c r="BN11" s="198">
        <f>Resultatmappe!VL26</f>
        <v>0</v>
      </c>
    </row>
    <row r="12" spans="1:66" x14ac:dyDescent="0.3">
      <c r="A12" s="3">
        <v>0</v>
      </c>
      <c r="B12" s="3">
        <v>0</v>
      </c>
      <c r="C12" s="3"/>
      <c r="D12" s="3">
        <f>Resultatmappe!E27</f>
        <v>0</v>
      </c>
      <c r="E12" s="3"/>
      <c r="F12" s="3" t="str">
        <f>Resultatmappe!TH27</f>
        <v>Disziplin</v>
      </c>
      <c r="G12" s="3"/>
      <c r="H12" s="198">
        <f>Resultatmappe!G27</f>
        <v>0</v>
      </c>
      <c r="J12" s="198">
        <f>Resultatmappe!Q27</f>
        <v>0</v>
      </c>
      <c r="L12" s="198">
        <f>Resultatmappe!AA27</f>
        <v>0</v>
      </c>
      <c r="N12" s="197">
        <f>Resultatmappe!AK27</f>
        <v>0</v>
      </c>
      <c r="P12" s="197">
        <f>Resultatmappe!AU27</f>
        <v>0</v>
      </c>
      <c r="R12" s="197">
        <f>Resultatmappe!BE27</f>
        <v>0</v>
      </c>
      <c r="T12" s="198">
        <f>Resultatmappe!BO27</f>
        <v>0</v>
      </c>
      <c r="V12" s="198">
        <f>Resultatmappe!BY27</f>
        <v>0</v>
      </c>
      <c r="X12" s="198">
        <f>Resultatmappe!CI27</f>
        <v>0</v>
      </c>
      <c r="Z12" s="197">
        <f>Resultatmappe!FE27</f>
        <v>0</v>
      </c>
      <c r="AB12" s="197">
        <f>Resultatmappe!FK27</f>
        <v>0</v>
      </c>
      <c r="AD12" s="197">
        <f>Resultatmappe!FQ27</f>
        <v>0</v>
      </c>
      <c r="AF12" s="197">
        <f>Resultatmappe!FW27</f>
        <v>0</v>
      </c>
      <c r="AH12" s="197">
        <f>Resultatmappe!GC27</f>
        <v>0</v>
      </c>
      <c r="AJ12" s="197">
        <f>Resultatmappe!GI27</f>
        <v>0</v>
      </c>
      <c r="AL12" s="197" t="str">
        <f>Resultatmappe!IZ27</f>
        <v>Zu wenige Noten</v>
      </c>
      <c r="AN12" s="197">
        <f>Resultatmappe!JJ27</f>
        <v>0</v>
      </c>
      <c r="AP12" s="197">
        <f>Resultatmappe!KI27</f>
        <v>0</v>
      </c>
      <c r="AR12" s="197">
        <f>Resultatmappe!KS27</f>
        <v>0</v>
      </c>
      <c r="AT12" s="197">
        <f>Resultatmappe!LC27</f>
        <v>0</v>
      </c>
      <c r="AV12" s="198">
        <f>Resultatmappe!ML27</f>
        <v>0</v>
      </c>
      <c r="AX12" s="198">
        <f>Resultatmappe!MV27</f>
        <v>0</v>
      </c>
      <c r="AZ12" s="198">
        <f>Resultatmappe!NF27</f>
        <v>0</v>
      </c>
      <c r="BB12" s="198">
        <f>Resultatmappe!NP27</f>
        <v>0</v>
      </c>
      <c r="BD12" s="197">
        <f>Resultatmappe!NZ27</f>
        <v>0</v>
      </c>
      <c r="BF12">
        <f>Resultatmappe!TK27</f>
        <v>0</v>
      </c>
      <c r="BH12" s="198">
        <f>Resultatmappe!TM27</f>
        <v>0</v>
      </c>
      <c r="BJ12" s="197">
        <f>Resultatmappe!UH27</f>
        <v>0</v>
      </c>
      <c r="BL12" s="197">
        <f>Resultatmappe!UQ27</f>
        <v>0</v>
      </c>
      <c r="BN12" s="198">
        <f>Resultatmappe!VL27</f>
        <v>0</v>
      </c>
    </row>
    <row r="13" spans="1:66" x14ac:dyDescent="0.3">
      <c r="A13" s="3">
        <v>0</v>
      </c>
      <c r="B13" s="3">
        <v>0</v>
      </c>
      <c r="C13" s="3"/>
      <c r="D13" s="3">
        <f>Resultatmappe!E28</f>
        <v>0</v>
      </c>
      <c r="E13" s="3"/>
      <c r="F13" s="3" t="str">
        <f>Resultatmappe!TH28</f>
        <v>Disziplin</v>
      </c>
      <c r="G13" s="3"/>
      <c r="H13" s="198">
        <f>Resultatmappe!G28</f>
        <v>0</v>
      </c>
      <c r="J13" s="198">
        <f>Resultatmappe!Q28</f>
        <v>0</v>
      </c>
      <c r="L13" s="198">
        <f>Resultatmappe!AA28</f>
        <v>0</v>
      </c>
      <c r="N13" s="197">
        <f>Resultatmappe!AK28</f>
        <v>0</v>
      </c>
      <c r="P13" s="197">
        <f>Resultatmappe!AU28</f>
        <v>0</v>
      </c>
      <c r="R13" s="197">
        <f>Resultatmappe!BE28</f>
        <v>0</v>
      </c>
      <c r="T13" s="198">
        <f>Resultatmappe!BO28</f>
        <v>0</v>
      </c>
      <c r="V13" s="198">
        <f>Resultatmappe!BY28</f>
        <v>0</v>
      </c>
      <c r="X13" s="198">
        <f>Resultatmappe!CI28</f>
        <v>0</v>
      </c>
      <c r="Z13" s="197">
        <f>Resultatmappe!FE28</f>
        <v>0</v>
      </c>
      <c r="AB13" s="197">
        <f>Resultatmappe!FK28</f>
        <v>0</v>
      </c>
      <c r="AD13" s="197">
        <f>Resultatmappe!FQ28</f>
        <v>0</v>
      </c>
      <c r="AF13" s="197">
        <f>Resultatmappe!FW28</f>
        <v>0</v>
      </c>
      <c r="AH13" s="197">
        <f>Resultatmappe!GC28</f>
        <v>0</v>
      </c>
      <c r="AJ13" s="197">
        <f>Resultatmappe!GI28</f>
        <v>0</v>
      </c>
      <c r="AL13" s="197" t="str">
        <f>Resultatmappe!IZ28</f>
        <v>Zu wenige Noten</v>
      </c>
      <c r="AN13" s="197">
        <f>Resultatmappe!JJ28</f>
        <v>0</v>
      </c>
      <c r="AP13" s="197">
        <f>Resultatmappe!KI28</f>
        <v>0</v>
      </c>
      <c r="AR13" s="197">
        <f>Resultatmappe!KS28</f>
        <v>0</v>
      </c>
      <c r="AT13" s="197">
        <f>Resultatmappe!LC28</f>
        <v>0</v>
      </c>
      <c r="AV13" s="198">
        <f>Resultatmappe!ML28</f>
        <v>0</v>
      </c>
      <c r="AX13" s="198">
        <f>Resultatmappe!MV28</f>
        <v>0</v>
      </c>
      <c r="AZ13" s="198">
        <f>Resultatmappe!NF28</f>
        <v>0</v>
      </c>
      <c r="BB13" s="198">
        <f>Resultatmappe!NP28</f>
        <v>0</v>
      </c>
      <c r="BD13" s="197">
        <f>Resultatmappe!NZ28</f>
        <v>0</v>
      </c>
      <c r="BF13">
        <f>Resultatmappe!TK28</f>
        <v>0</v>
      </c>
      <c r="BH13" s="198">
        <f>Resultatmappe!TM28</f>
        <v>0</v>
      </c>
      <c r="BJ13" s="197">
        <f>Resultatmappe!UH28</f>
        <v>0</v>
      </c>
      <c r="BL13" s="197">
        <f>Resultatmappe!UQ28</f>
        <v>0</v>
      </c>
      <c r="BN13" s="198">
        <f>Resultatmappe!VL28</f>
        <v>0</v>
      </c>
    </row>
    <row r="14" spans="1:66" x14ac:dyDescent="0.3">
      <c r="A14" s="3">
        <v>0</v>
      </c>
      <c r="B14" s="3">
        <v>0</v>
      </c>
      <c r="C14" s="3"/>
      <c r="D14" s="3">
        <f>Resultatmappe!E29</f>
        <v>0</v>
      </c>
      <c r="E14" s="3"/>
      <c r="F14" s="3" t="str">
        <f>Resultatmappe!TH29</f>
        <v>Disziplin</v>
      </c>
      <c r="G14" s="3"/>
      <c r="H14" s="198">
        <f>Resultatmappe!G29</f>
        <v>0</v>
      </c>
      <c r="J14" s="198">
        <f>Resultatmappe!Q29</f>
        <v>0</v>
      </c>
      <c r="L14" s="198">
        <f>Resultatmappe!AA29</f>
        <v>0</v>
      </c>
      <c r="N14" s="197">
        <f>Resultatmappe!AK29</f>
        <v>0</v>
      </c>
      <c r="P14" s="197">
        <f>Resultatmappe!AU29</f>
        <v>0</v>
      </c>
      <c r="R14" s="197">
        <f>Resultatmappe!BE29</f>
        <v>0</v>
      </c>
      <c r="T14" s="198">
        <f>Resultatmappe!BO29</f>
        <v>0</v>
      </c>
      <c r="V14" s="198">
        <f>Resultatmappe!BY29</f>
        <v>0</v>
      </c>
      <c r="X14" s="198">
        <f>Resultatmappe!CI29</f>
        <v>0</v>
      </c>
      <c r="Z14" s="197">
        <f>Resultatmappe!FE29</f>
        <v>0</v>
      </c>
      <c r="AB14" s="197">
        <f>Resultatmappe!FK29</f>
        <v>0</v>
      </c>
      <c r="AD14" s="197">
        <f>Resultatmappe!FQ29</f>
        <v>0</v>
      </c>
      <c r="AF14" s="197">
        <f>Resultatmappe!FW29</f>
        <v>0</v>
      </c>
      <c r="AH14" s="197">
        <f>Resultatmappe!GC29</f>
        <v>0</v>
      </c>
      <c r="AJ14" s="197">
        <f>Resultatmappe!GI29</f>
        <v>0</v>
      </c>
      <c r="AL14" s="197" t="str">
        <f>Resultatmappe!IZ29</f>
        <v>Zu wenige Noten</v>
      </c>
      <c r="AN14" s="197">
        <f>Resultatmappe!JJ29</f>
        <v>0</v>
      </c>
      <c r="AP14" s="197">
        <f>Resultatmappe!KI29</f>
        <v>0</v>
      </c>
      <c r="AR14" s="197">
        <f>Resultatmappe!KS29</f>
        <v>0</v>
      </c>
      <c r="AT14" s="197">
        <f>Resultatmappe!LC29</f>
        <v>0</v>
      </c>
      <c r="AV14" s="198">
        <f>Resultatmappe!ML29</f>
        <v>0</v>
      </c>
      <c r="AX14" s="198">
        <f>Resultatmappe!MV29</f>
        <v>0</v>
      </c>
      <c r="AZ14" s="198">
        <f>Resultatmappe!NF29</f>
        <v>0</v>
      </c>
      <c r="BB14" s="198">
        <f>Resultatmappe!NP29</f>
        <v>0</v>
      </c>
      <c r="BD14" s="197">
        <f>Resultatmappe!NZ29</f>
        <v>0</v>
      </c>
      <c r="BF14">
        <f>Resultatmappe!TK29</f>
        <v>0</v>
      </c>
      <c r="BH14" s="198">
        <f>Resultatmappe!TM29</f>
        <v>0</v>
      </c>
      <c r="BJ14" s="197">
        <f>Resultatmappe!UH29</f>
        <v>0</v>
      </c>
      <c r="BL14" s="197">
        <f>Resultatmappe!UQ29</f>
        <v>0</v>
      </c>
      <c r="BN14" s="198">
        <f>Resultatmappe!VL29</f>
        <v>0</v>
      </c>
    </row>
    <row r="15" spans="1:66" x14ac:dyDescent="0.3">
      <c r="A15" s="3">
        <v>0</v>
      </c>
      <c r="B15" s="3">
        <v>0</v>
      </c>
      <c r="C15" s="3"/>
      <c r="D15" s="3">
        <f>Resultatmappe!E30</f>
        <v>0</v>
      </c>
      <c r="E15" s="3"/>
      <c r="F15" s="3" t="str">
        <f>Resultatmappe!TH30</f>
        <v>Disziplin</v>
      </c>
      <c r="G15" s="3"/>
      <c r="H15" s="198">
        <f>Resultatmappe!G30</f>
        <v>0</v>
      </c>
      <c r="J15" s="198">
        <f>Resultatmappe!Q30</f>
        <v>0</v>
      </c>
      <c r="L15" s="198">
        <f>Resultatmappe!AA30</f>
        <v>0</v>
      </c>
      <c r="N15" s="197">
        <f>Resultatmappe!AK30</f>
        <v>0</v>
      </c>
      <c r="P15" s="197">
        <f>Resultatmappe!AU30</f>
        <v>0</v>
      </c>
      <c r="R15" s="197">
        <f>Resultatmappe!BE30</f>
        <v>0</v>
      </c>
      <c r="T15" s="198">
        <f>Resultatmappe!BO30</f>
        <v>0</v>
      </c>
      <c r="V15" s="198">
        <f>Resultatmappe!BY30</f>
        <v>0</v>
      </c>
      <c r="X15" s="198">
        <f>Resultatmappe!CI30</f>
        <v>0</v>
      </c>
      <c r="Z15" s="197">
        <f>Resultatmappe!FE30</f>
        <v>0</v>
      </c>
      <c r="AB15" s="197">
        <f>Resultatmappe!FK30</f>
        <v>0</v>
      </c>
      <c r="AD15" s="197">
        <f>Resultatmappe!FQ30</f>
        <v>0</v>
      </c>
      <c r="AF15" s="197">
        <f>Resultatmappe!FW30</f>
        <v>0</v>
      </c>
      <c r="AH15" s="197">
        <f>Resultatmappe!GC30</f>
        <v>0</v>
      </c>
      <c r="AJ15" s="197">
        <f>Resultatmappe!GI30</f>
        <v>0</v>
      </c>
      <c r="AL15" s="197" t="str">
        <f>Resultatmappe!IZ30</f>
        <v>Zu wenige Noten</v>
      </c>
      <c r="AN15" s="197">
        <f>Resultatmappe!JJ30</f>
        <v>0</v>
      </c>
      <c r="AP15" s="197">
        <f>Resultatmappe!KI30</f>
        <v>0</v>
      </c>
      <c r="AR15" s="197">
        <f>Resultatmappe!KS30</f>
        <v>0</v>
      </c>
      <c r="AT15" s="197">
        <f>Resultatmappe!LC30</f>
        <v>0</v>
      </c>
      <c r="AV15" s="198">
        <f>Resultatmappe!ML30</f>
        <v>0</v>
      </c>
      <c r="AX15" s="198">
        <f>Resultatmappe!MV30</f>
        <v>0</v>
      </c>
      <c r="AZ15" s="198">
        <f>Resultatmappe!NF30</f>
        <v>0</v>
      </c>
      <c r="BB15" s="198">
        <f>Resultatmappe!NP30</f>
        <v>0</v>
      </c>
      <c r="BD15" s="197">
        <f>Resultatmappe!NZ30</f>
        <v>0</v>
      </c>
      <c r="BF15">
        <f>Resultatmappe!TK30</f>
        <v>0</v>
      </c>
      <c r="BH15" s="198">
        <f>Resultatmappe!TM30</f>
        <v>0</v>
      </c>
      <c r="BJ15" s="197">
        <f>Resultatmappe!UH30</f>
        <v>0</v>
      </c>
      <c r="BL15" s="197">
        <f>Resultatmappe!UQ30</f>
        <v>0</v>
      </c>
      <c r="BN15" s="198">
        <f>Resultatmappe!VL30</f>
        <v>0</v>
      </c>
    </row>
    <row r="16" spans="1:66" x14ac:dyDescent="0.3">
      <c r="A16" s="3">
        <v>0</v>
      </c>
      <c r="B16" s="3">
        <v>0</v>
      </c>
      <c r="C16" s="3"/>
      <c r="D16" s="3">
        <f>Resultatmappe!E31</f>
        <v>0</v>
      </c>
      <c r="E16" s="3"/>
      <c r="F16" s="3" t="str">
        <f>Resultatmappe!TH31</f>
        <v>Disziplin</v>
      </c>
      <c r="G16" s="3"/>
      <c r="H16" s="198">
        <f>Resultatmappe!G31</f>
        <v>0</v>
      </c>
      <c r="J16" s="198">
        <f>Resultatmappe!Q31</f>
        <v>0</v>
      </c>
      <c r="L16" s="198">
        <f>Resultatmappe!AA31</f>
        <v>0</v>
      </c>
      <c r="N16" s="197">
        <f>Resultatmappe!AK31</f>
        <v>0</v>
      </c>
      <c r="P16" s="197">
        <f>Resultatmappe!AU31</f>
        <v>0</v>
      </c>
      <c r="R16" s="197">
        <f>Resultatmappe!BE31</f>
        <v>0</v>
      </c>
      <c r="T16" s="198">
        <f>Resultatmappe!BO31</f>
        <v>0</v>
      </c>
      <c r="V16" s="198">
        <f>Resultatmappe!BY31</f>
        <v>0</v>
      </c>
      <c r="X16" s="198">
        <f>Resultatmappe!CI31</f>
        <v>0</v>
      </c>
      <c r="Z16" s="197">
        <f>Resultatmappe!FE31</f>
        <v>0</v>
      </c>
      <c r="AB16" s="197">
        <f>Resultatmappe!FK31</f>
        <v>0</v>
      </c>
      <c r="AD16" s="197">
        <f>Resultatmappe!FQ31</f>
        <v>0</v>
      </c>
      <c r="AF16" s="197">
        <f>Resultatmappe!FW31</f>
        <v>0</v>
      </c>
      <c r="AH16" s="197">
        <f>Resultatmappe!GC31</f>
        <v>0</v>
      </c>
      <c r="AJ16" s="197">
        <f>Resultatmappe!GI31</f>
        <v>0</v>
      </c>
      <c r="AL16" s="197" t="str">
        <f>Resultatmappe!IZ31</f>
        <v>Zu wenige Noten</v>
      </c>
      <c r="AN16" s="197">
        <f>Resultatmappe!JJ31</f>
        <v>0</v>
      </c>
      <c r="AP16" s="197">
        <f>Resultatmappe!KI31</f>
        <v>0</v>
      </c>
      <c r="AR16" s="197">
        <f>Resultatmappe!KS31</f>
        <v>0</v>
      </c>
      <c r="AT16" s="197">
        <f>Resultatmappe!LC31</f>
        <v>0</v>
      </c>
      <c r="AV16" s="198">
        <f>Resultatmappe!ML31</f>
        <v>0</v>
      </c>
      <c r="AX16" s="198">
        <f>Resultatmappe!MV31</f>
        <v>0</v>
      </c>
      <c r="AZ16" s="198">
        <f>Resultatmappe!NF31</f>
        <v>0</v>
      </c>
      <c r="BB16" s="198">
        <f>Resultatmappe!NP31</f>
        <v>0</v>
      </c>
      <c r="BD16" s="197">
        <f>Resultatmappe!NZ31</f>
        <v>0</v>
      </c>
      <c r="BF16">
        <f>Resultatmappe!TK31</f>
        <v>0</v>
      </c>
      <c r="BH16" s="198">
        <f>Resultatmappe!TM31</f>
        <v>0</v>
      </c>
      <c r="BJ16" s="197">
        <f>Resultatmappe!UH31</f>
        <v>0</v>
      </c>
      <c r="BL16" s="197">
        <f>Resultatmappe!UQ31</f>
        <v>0</v>
      </c>
      <c r="BN16" s="198">
        <f>Resultatmappe!VL31</f>
        <v>0</v>
      </c>
    </row>
    <row r="17" spans="1:66" x14ac:dyDescent="0.3">
      <c r="A17" s="3">
        <v>0</v>
      </c>
      <c r="B17" s="3">
        <v>0</v>
      </c>
      <c r="C17" s="3"/>
      <c r="D17" s="3">
        <f>Resultatmappe!E32</f>
        <v>0</v>
      </c>
      <c r="E17" s="3"/>
      <c r="F17" s="3" t="str">
        <f>Resultatmappe!TH32</f>
        <v>Disziplin</v>
      </c>
      <c r="G17" s="3"/>
      <c r="H17" s="198">
        <f>Resultatmappe!G32</f>
        <v>0</v>
      </c>
      <c r="J17" s="198">
        <f>Resultatmappe!Q32</f>
        <v>0</v>
      </c>
      <c r="L17" s="198">
        <f>Resultatmappe!AA32</f>
        <v>0</v>
      </c>
      <c r="N17" s="197">
        <f>Resultatmappe!AK32</f>
        <v>0</v>
      </c>
      <c r="P17" s="197">
        <f>Resultatmappe!AU32</f>
        <v>0</v>
      </c>
      <c r="R17" s="197">
        <f>Resultatmappe!BE32</f>
        <v>0</v>
      </c>
      <c r="T17" s="198">
        <f>Resultatmappe!BO32</f>
        <v>0</v>
      </c>
      <c r="V17" s="198">
        <f>Resultatmappe!BY32</f>
        <v>0</v>
      </c>
      <c r="X17" s="198">
        <f>Resultatmappe!CI32</f>
        <v>0</v>
      </c>
      <c r="Z17" s="197">
        <f>Resultatmappe!FE32</f>
        <v>0</v>
      </c>
      <c r="AB17" s="197">
        <f>Resultatmappe!FK32</f>
        <v>0</v>
      </c>
      <c r="AD17" s="197">
        <f>Resultatmappe!FQ32</f>
        <v>0</v>
      </c>
      <c r="AF17" s="197">
        <f>Resultatmappe!FW32</f>
        <v>0</v>
      </c>
      <c r="AH17" s="197">
        <f>Resultatmappe!GC32</f>
        <v>0</v>
      </c>
      <c r="AJ17" s="197">
        <f>Resultatmappe!GI32</f>
        <v>0</v>
      </c>
      <c r="AL17" s="197" t="str">
        <f>Resultatmappe!IZ32</f>
        <v>Zu wenige Noten</v>
      </c>
      <c r="AN17" s="197">
        <f>Resultatmappe!JJ32</f>
        <v>0</v>
      </c>
      <c r="AP17" s="197">
        <f>Resultatmappe!KI32</f>
        <v>0</v>
      </c>
      <c r="AR17" s="197">
        <f>Resultatmappe!KS32</f>
        <v>0</v>
      </c>
      <c r="AT17" s="197">
        <f>Resultatmappe!LC32</f>
        <v>0</v>
      </c>
      <c r="AV17" s="198">
        <f>Resultatmappe!ML32</f>
        <v>0</v>
      </c>
      <c r="AX17" s="198">
        <f>Resultatmappe!MV32</f>
        <v>0</v>
      </c>
      <c r="AZ17" s="198">
        <f>Resultatmappe!NF32</f>
        <v>0</v>
      </c>
      <c r="BB17" s="198">
        <f>Resultatmappe!NP32</f>
        <v>0</v>
      </c>
      <c r="BD17" s="197">
        <f>Resultatmappe!NZ32</f>
        <v>0</v>
      </c>
      <c r="BF17">
        <f>Resultatmappe!TK32</f>
        <v>0</v>
      </c>
      <c r="BH17" s="198">
        <f>Resultatmappe!TM32</f>
        <v>0</v>
      </c>
      <c r="BJ17" s="197">
        <f>Resultatmappe!UH32</f>
        <v>0</v>
      </c>
      <c r="BL17" s="197">
        <f>Resultatmappe!UQ32</f>
        <v>0</v>
      </c>
      <c r="BN17" s="198">
        <f>Resultatmappe!VL32</f>
        <v>0</v>
      </c>
    </row>
    <row r="18" spans="1:66" x14ac:dyDescent="0.3">
      <c r="A18" s="3">
        <v>0</v>
      </c>
      <c r="B18" s="3">
        <v>0</v>
      </c>
      <c r="C18" s="3"/>
      <c r="D18" s="3">
        <f>Resultatmappe!E33</f>
        <v>0</v>
      </c>
      <c r="E18" s="3"/>
      <c r="F18" s="3" t="str">
        <f>Resultatmappe!TH33</f>
        <v>Disziplin</v>
      </c>
      <c r="G18" s="3"/>
      <c r="H18" s="198">
        <f>Resultatmappe!G33</f>
        <v>0</v>
      </c>
      <c r="J18" s="198">
        <f>Resultatmappe!Q33</f>
        <v>0</v>
      </c>
      <c r="L18" s="198">
        <f>Resultatmappe!AA33</f>
        <v>0</v>
      </c>
      <c r="N18" s="197">
        <f>Resultatmappe!AK33</f>
        <v>0</v>
      </c>
      <c r="P18" s="197">
        <f>Resultatmappe!AU33</f>
        <v>0</v>
      </c>
      <c r="R18" s="197">
        <f>Resultatmappe!BE33</f>
        <v>0</v>
      </c>
      <c r="T18" s="198">
        <f>Resultatmappe!BO33</f>
        <v>0</v>
      </c>
      <c r="V18" s="198">
        <f>Resultatmappe!BY33</f>
        <v>0</v>
      </c>
      <c r="X18" s="198">
        <f>Resultatmappe!CI33</f>
        <v>0</v>
      </c>
      <c r="Z18" s="197">
        <f>Resultatmappe!FE33</f>
        <v>0</v>
      </c>
      <c r="AB18" s="197">
        <f>Resultatmappe!FK33</f>
        <v>0</v>
      </c>
      <c r="AD18" s="197">
        <f>Resultatmappe!FQ33</f>
        <v>0</v>
      </c>
      <c r="AF18" s="197">
        <f>Resultatmappe!FW33</f>
        <v>0</v>
      </c>
      <c r="AH18" s="197">
        <f>Resultatmappe!GC33</f>
        <v>0</v>
      </c>
      <c r="AJ18" s="197">
        <f>Resultatmappe!GI33</f>
        <v>0</v>
      </c>
      <c r="AL18" s="197" t="str">
        <f>Resultatmappe!IZ33</f>
        <v>Zu wenige Noten</v>
      </c>
      <c r="AN18" s="197">
        <f>Resultatmappe!JJ33</f>
        <v>0</v>
      </c>
      <c r="AP18" s="197">
        <f>Resultatmappe!KI33</f>
        <v>0</v>
      </c>
      <c r="AR18" s="197">
        <f>Resultatmappe!KS33</f>
        <v>0</v>
      </c>
      <c r="AT18" s="197">
        <f>Resultatmappe!LC33</f>
        <v>0</v>
      </c>
      <c r="AV18" s="198">
        <f>Resultatmappe!ML33</f>
        <v>0</v>
      </c>
      <c r="AX18" s="198">
        <f>Resultatmappe!MV33</f>
        <v>0</v>
      </c>
      <c r="AZ18" s="198">
        <f>Resultatmappe!NF33</f>
        <v>0</v>
      </c>
      <c r="BB18" s="198">
        <f>Resultatmappe!NP33</f>
        <v>0</v>
      </c>
      <c r="BD18" s="197">
        <f>Resultatmappe!NZ33</f>
        <v>0</v>
      </c>
      <c r="BF18">
        <f>Resultatmappe!TK33</f>
        <v>0</v>
      </c>
      <c r="BH18" s="198">
        <f>Resultatmappe!TM33</f>
        <v>0</v>
      </c>
      <c r="BJ18" s="197">
        <f>Resultatmappe!UH33</f>
        <v>0</v>
      </c>
      <c r="BL18" s="197">
        <f>Resultatmappe!UQ33</f>
        <v>0</v>
      </c>
      <c r="BN18" s="198">
        <f>Resultatmappe!VL33</f>
        <v>0</v>
      </c>
    </row>
    <row r="19" spans="1:66" x14ac:dyDescent="0.3">
      <c r="A19" s="3">
        <v>0</v>
      </c>
      <c r="B19" s="3">
        <v>0</v>
      </c>
      <c r="C19" s="3"/>
      <c r="D19" s="3">
        <f>Resultatmappe!E34</f>
        <v>0</v>
      </c>
      <c r="E19" s="3"/>
      <c r="F19" s="3" t="str">
        <f>Resultatmappe!TH34</f>
        <v>Disziplin</v>
      </c>
      <c r="G19" s="3"/>
      <c r="H19" s="198">
        <f>Resultatmappe!G34</f>
        <v>0</v>
      </c>
      <c r="J19" s="198">
        <f>Resultatmappe!Q34</f>
        <v>0</v>
      </c>
      <c r="L19" s="198">
        <f>Resultatmappe!AA34</f>
        <v>0</v>
      </c>
      <c r="N19" s="197">
        <f>Resultatmappe!AK34</f>
        <v>0</v>
      </c>
      <c r="P19" s="197">
        <f>Resultatmappe!AU34</f>
        <v>0</v>
      </c>
      <c r="R19" s="197">
        <f>Resultatmappe!BE34</f>
        <v>0</v>
      </c>
      <c r="T19" s="198">
        <f>Resultatmappe!BO34</f>
        <v>0</v>
      </c>
      <c r="V19" s="198">
        <f>Resultatmappe!BY34</f>
        <v>0</v>
      </c>
      <c r="X19" s="198">
        <f>Resultatmappe!CI34</f>
        <v>0</v>
      </c>
      <c r="Z19" s="197">
        <f>Resultatmappe!FE34</f>
        <v>0</v>
      </c>
      <c r="AB19" s="197">
        <f>Resultatmappe!FK34</f>
        <v>0</v>
      </c>
      <c r="AD19" s="197">
        <f>Resultatmappe!FQ34</f>
        <v>0</v>
      </c>
      <c r="AF19" s="197">
        <f>Resultatmappe!FW34</f>
        <v>0</v>
      </c>
      <c r="AH19" s="197">
        <f>Resultatmappe!GC34</f>
        <v>0</v>
      </c>
      <c r="AJ19" s="197">
        <f>Resultatmappe!GI34</f>
        <v>0</v>
      </c>
      <c r="AL19" s="197" t="str">
        <f>Resultatmappe!IZ34</f>
        <v>Zu wenige Noten</v>
      </c>
      <c r="AN19" s="197">
        <f>Resultatmappe!JJ34</f>
        <v>0</v>
      </c>
      <c r="AP19" s="197">
        <f>Resultatmappe!KI34</f>
        <v>0</v>
      </c>
      <c r="AR19" s="197">
        <f>Resultatmappe!KS34</f>
        <v>0</v>
      </c>
      <c r="AT19" s="197">
        <f>Resultatmappe!LC34</f>
        <v>0</v>
      </c>
      <c r="AV19" s="198">
        <f>Resultatmappe!ML34</f>
        <v>0</v>
      </c>
      <c r="AX19" s="198">
        <f>Resultatmappe!MV34</f>
        <v>0</v>
      </c>
      <c r="AZ19" s="198">
        <f>Resultatmappe!NF34</f>
        <v>0</v>
      </c>
      <c r="BB19" s="198">
        <f>Resultatmappe!NP34</f>
        <v>0</v>
      </c>
      <c r="BD19" s="197">
        <f>Resultatmappe!NZ34</f>
        <v>0</v>
      </c>
      <c r="BF19">
        <f>Resultatmappe!TK34</f>
        <v>0</v>
      </c>
      <c r="BH19" s="198">
        <f>Resultatmappe!TM34</f>
        <v>0</v>
      </c>
      <c r="BJ19" s="197">
        <f>Resultatmappe!UH34</f>
        <v>0</v>
      </c>
      <c r="BL19" s="197">
        <f>Resultatmappe!UQ34</f>
        <v>0</v>
      </c>
      <c r="BN19" s="198">
        <f>Resultatmappe!VL34</f>
        <v>0</v>
      </c>
    </row>
    <row r="20" spans="1:66" x14ac:dyDescent="0.3">
      <c r="A20" s="3">
        <v>0</v>
      </c>
      <c r="B20" s="3">
        <v>0</v>
      </c>
      <c r="C20" s="3"/>
      <c r="D20" s="3">
        <f>Resultatmappe!E35</f>
        <v>0</v>
      </c>
      <c r="E20" s="3"/>
      <c r="F20" s="3" t="str">
        <f>Resultatmappe!TH35</f>
        <v>Disziplin</v>
      </c>
      <c r="G20" s="3"/>
      <c r="H20" s="198">
        <f>Resultatmappe!G35</f>
        <v>0</v>
      </c>
      <c r="J20" s="198">
        <f>Resultatmappe!Q35</f>
        <v>0</v>
      </c>
      <c r="L20" s="198">
        <f>Resultatmappe!AA35</f>
        <v>0</v>
      </c>
      <c r="N20" s="197">
        <f>Resultatmappe!AK35</f>
        <v>0</v>
      </c>
      <c r="P20" s="197">
        <f>Resultatmappe!AU35</f>
        <v>0</v>
      </c>
      <c r="R20" s="197">
        <f>Resultatmappe!BE35</f>
        <v>0</v>
      </c>
      <c r="T20" s="198">
        <f>Resultatmappe!BO35</f>
        <v>0</v>
      </c>
      <c r="V20" s="198">
        <f>Resultatmappe!BY35</f>
        <v>0</v>
      </c>
      <c r="X20" s="198">
        <f>Resultatmappe!CI35</f>
        <v>0</v>
      </c>
      <c r="Z20" s="197">
        <f>Resultatmappe!FE35</f>
        <v>0</v>
      </c>
      <c r="AB20" s="197">
        <f>Resultatmappe!FK35</f>
        <v>0</v>
      </c>
      <c r="AD20" s="197">
        <f>Resultatmappe!FQ35</f>
        <v>0</v>
      </c>
      <c r="AF20" s="197">
        <f>Resultatmappe!FW35</f>
        <v>0</v>
      </c>
      <c r="AH20" s="197">
        <f>Resultatmappe!GC35</f>
        <v>0</v>
      </c>
      <c r="AJ20" s="197">
        <f>Resultatmappe!GI35</f>
        <v>0</v>
      </c>
      <c r="AL20" s="197" t="str">
        <f>Resultatmappe!IZ35</f>
        <v>Zu wenige Noten</v>
      </c>
      <c r="AN20" s="197">
        <f>Resultatmappe!JJ35</f>
        <v>0</v>
      </c>
      <c r="AP20" s="197">
        <f>Resultatmappe!KI35</f>
        <v>0</v>
      </c>
      <c r="AR20" s="197">
        <f>Resultatmappe!KS35</f>
        <v>0</v>
      </c>
      <c r="AT20" s="197">
        <f>Resultatmappe!LC35</f>
        <v>0</v>
      </c>
      <c r="AV20" s="198">
        <f>Resultatmappe!ML35</f>
        <v>0</v>
      </c>
      <c r="AX20" s="198">
        <f>Resultatmappe!MV35</f>
        <v>0</v>
      </c>
      <c r="AZ20" s="198">
        <f>Resultatmappe!NF35</f>
        <v>0</v>
      </c>
      <c r="BB20" s="198">
        <f>Resultatmappe!NP35</f>
        <v>0</v>
      </c>
      <c r="BD20" s="197">
        <f>Resultatmappe!NZ35</f>
        <v>0</v>
      </c>
      <c r="BF20">
        <f>Resultatmappe!TK35</f>
        <v>0</v>
      </c>
      <c r="BH20" s="198">
        <f>Resultatmappe!TM35</f>
        <v>0</v>
      </c>
      <c r="BJ20" s="197">
        <f>Resultatmappe!UH35</f>
        <v>0</v>
      </c>
      <c r="BL20" s="197">
        <f>Resultatmappe!UQ35</f>
        <v>0</v>
      </c>
      <c r="BN20" s="198">
        <f>Resultatmappe!VL35</f>
        <v>0</v>
      </c>
    </row>
    <row r="21" spans="1:66" x14ac:dyDescent="0.3">
      <c r="A21" s="3">
        <v>0</v>
      </c>
      <c r="B21" s="3">
        <v>0</v>
      </c>
      <c r="C21" s="3"/>
      <c r="D21" s="3">
        <f>Resultatmappe!E36</f>
        <v>0</v>
      </c>
      <c r="E21" s="3"/>
      <c r="F21" s="3" t="str">
        <f>Resultatmappe!TH36</f>
        <v>Disziplin</v>
      </c>
      <c r="G21" s="3"/>
      <c r="H21" s="198">
        <f>Resultatmappe!G36</f>
        <v>0</v>
      </c>
      <c r="J21" s="198">
        <f>Resultatmappe!Q36</f>
        <v>0</v>
      </c>
      <c r="L21" s="198">
        <f>Resultatmappe!AA36</f>
        <v>0</v>
      </c>
      <c r="N21" s="197">
        <f>Resultatmappe!AK36</f>
        <v>0</v>
      </c>
      <c r="P21" s="197">
        <f>Resultatmappe!AU36</f>
        <v>0</v>
      </c>
      <c r="R21" s="197">
        <f>Resultatmappe!BE36</f>
        <v>0</v>
      </c>
      <c r="T21" s="198">
        <f>Resultatmappe!BO36</f>
        <v>0</v>
      </c>
      <c r="V21" s="198">
        <f>Resultatmappe!BY36</f>
        <v>0</v>
      </c>
      <c r="X21" s="198">
        <f>Resultatmappe!CI36</f>
        <v>0</v>
      </c>
      <c r="Z21" s="197">
        <f>Resultatmappe!FE36</f>
        <v>0</v>
      </c>
      <c r="AB21" s="197">
        <f>Resultatmappe!FK36</f>
        <v>0</v>
      </c>
      <c r="AD21" s="197">
        <f>Resultatmappe!FQ36</f>
        <v>0</v>
      </c>
      <c r="AF21" s="197">
        <f>Resultatmappe!FW36</f>
        <v>0</v>
      </c>
      <c r="AH21" s="197">
        <f>Resultatmappe!GC36</f>
        <v>0</v>
      </c>
      <c r="AJ21" s="197">
        <f>Resultatmappe!GI36</f>
        <v>0</v>
      </c>
      <c r="AL21" s="197" t="str">
        <f>Resultatmappe!IZ36</f>
        <v>Zu wenige Noten</v>
      </c>
      <c r="AN21" s="197">
        <f>Resultatmappe!JJ36</f>
        <v>0</v>
      </c>
      <c r="AP21" s="197">
        <f>Resultatmappe!KI36</f>
        <v>0</v>
      </c>
      <c r="AR21" s="197">
        <f>Resultatmappe!KS36</f>
        <v>0</v>
      </c>
      <c r="AT21" s="197">
        <f>Resultatmappe!LC36</f>
        <v>0</v>
      </c>
      <c r="AV21" s="198">
        <f>Resultatmappe!ML36</f>
        <v>0</v>
      </c>
      <c r="AX21" s="198">
        <f>Resultatmappe!MV36</f>
        <v>0</v>
      </c>
      <c r="AZ21" s="198">
        <f>Resultatmappe!NF36</f>
        <v>0</v>
      </c>
      <c r="BB21" s="198">
        <f>Resultatmappe!NP36</f>
        <v>0</v>
      </c>
      <c r="BD21" s="197">
        <f>Resultatmappe!NZ36</f>
        <v>0</v>
      </c>
      <c r="BF21">
        <f>Resultatmappe!TK36</f>
        <v>0</v>
      </c>
      <c r="BH21" s="198">
        <f>Resultatmappe!TM36</f>
        <v>0</v>
      </c>
      <c r="BJ21" s="197">
        <f>Resultatmappe!UH36</f>
        <v>0</v>
      </c>
      <c r="BL21" s="197">
        <f>Resultatmappe!UQ36</f>
        <v>0</v>
      </c>
      <c r="BN21" s="198">
        <f>Resultatmappe!VL36</f>
        <v>0</v>
      </c>
    </row>
    <row r="22" spans="1:66" x14ac:dyDescent="0.3">
      <c r="A22" s="3">
        <v>0</v>
      </c>
      <c r="B22" s="3">
        <v>0</v>
      </c>
      <c r="C22" s="3"/>
      <c r="D22" s="3">
        <f>Resultatmappe!E37</f>
        <v>0</v>
      </c>
      <c r="E22" s="3"/>
      <c r="F22" s="3" t="str">
        <f>Resultatmappe!TH37</f>
        <v>Disziplin</v>
      </c>
      <c r="G22" s="3"/>
      <c r="H22" s="198">
        <f>Resultatmappe!G37</f>
        <v>0</v>
      </c>
      <c r="J22" s="198">
        <f>Resultatmappe!Q37</f>
        <v>0</v>
      </c>
      <c r="L22" s="198">
        <f>Resultatmappe!AA37</f>
        <v>0</v>
      </c>
      <c r="N22" s="197">
        <f>Resultatmappe!AK37</f>
        <v>0</v>
      </c>
      <c r="P22" s="197">
        <f>Resultatmappe!AU37</f>
        <v>0</v>
      </c>
      <c r="R22" s="197">
        <f>Resultatmappe!BE37</f>
        <v>0</v>
      </c>
      <c r="T22" s="198">
        <f>Resultatmappe!BO37</f>
        <v>0</v>
      </c>
      <c r="V22" s="198">
        <f>Resultatmappe!BY37</f>
        <v>0</v>
      </c>
      <c r="X22" s="198">
        <f>Resultatmappe!CI37</f>
        <v>0</v>
      </c>
      <c r="Z22" s="197">
        <f>Resultatmappe!FE37</f>
        <v>0</v>
      </c>
      <c r="AB22" s="197">
        <f>Resultatmappe!FK37</f>
        <v>0</v>
      </c>
      <c r="AD22" s="197">
        <f>Resultatmappe!FQ37</f>
        <v>0</v>
      </c>
      <c r="AF22" s="197">
        <f>Resultatmappe!FW37</f>
        <v>0</v>
      </c>
      <c r="AH22" s="197">
        <f>Resultatmappe!GC37</f>
        <v>0</v>
      </c>
      <c r="AJ22" s="197">
        <f>Resultatmappe!GI37</f>
        <v>0</v>
      </c>
      <c r="AL22" s="197" t="str">
        <f>Resultatmappe!IZ37</f>
        <v>Zu wenige Noten</v>
      </c>
      <c r="AN22" s="197">
        <f>Resultatmappe!JJ37</f>
        <v>0</v>
      </c>
      <c r="AP22" s="197">
        <f>Resultatmappe!KI37</f>
        <v>0</v>
      </c>
      <c r="AR22" s="197">
        <f>Resultatmappe!KS37</f>
        <v>0</v>
      </c>
      <c r="AT22" s="197">
        <f>Resultatmappe!LC37</f>
        <v>0</v>
      </c>
      <c r="AV22" s="198">
        <f>Resultatmappe!ML37</f>
        <v>0</v>
      </c>
      <c r="AX22" s="198">
        <f>Resultatmappe!MV37</f>
        <v>0</v>
      </c>
      <c r="AZ22" s="198">
        <f>Resultatmappe!NF37</f>
        <v>0</v>
      </c>
      <c r="BB22" s="198">
        <f>Resultatmappe!NP37</f>
        <v>0</v>
      </c>
      <c r="BD22" s="197">
        <f>Resultatmappe!NZ37</f>
        <v>0</v>
      </c>
      <c r="BF22">
        <f>Resultatmappe!TK37</f>
        <v>0</v>
      </c>
      <c r="BH22" s="198">
        <f>Resultatmappe!TM37</f>
        <v>0</v>
      </c>
      <c r="BJ22" s="197">
        <f>Resultatmappe!UH37</f>
        <v>0</v>
      </c>
      <c r="BL22" s="197">
        <f>Resultatmappe!UQ37</f>
        <v>0</v>
      </c>
      <c r="BN22" s="198">
        <f>Resultatmappe!VL37</f>
        <v>0</v>
      </c>
    </row>
    <row r="23" spans="1:66" x14ac:dyDescent="0.3">
      <c r="A23" s="3">
        <v>0</v>
      </c>
      <c r="B23" s="3">
        <v>0</v>
      </c>
      <c r="C23" s="3"/>
      <c r="D23" s="3">
        <f>Resultatmappe!E38</f>
        <v>0</v>
      </c>
      <c r="E23" s="3"/>
      <c r="F23" s="3" t="str">
        <f>Resultatmappe!TH38</f>
        <v>Disziplin</v>
      </c>
      <c r="G23" s="3"/>
      <c r="H23" s="198">
        <f>Resultatmappe!G38</f>
        <v>0</v>
      </c>
      <c r="J23" s="198">
        <f>Resultatmappe!Q38</f>
        <v>0</v>
      </c>
      <c r="L23" s="198">
        <f>Resultatmappe!AA38</f>
        <v>0</v>
      </c>
      <c r="N23" s="197">
        <f>Resultatmappe!AK38</f>
        <v>0</v>
      </c>
      <c r="P23" s="197">
        <f>Resultatmappe!AU38</f>
        <v>0</v>
      </c>
      <c r="R23" s="197">
        <f>Resultatmappe!BE38</f>
        <v>0</v>
      </c>
      <c r="T23" s="198">
        <f>Resultatmappe!BO38</f>
        <v>0</v>
      </c>
      <c r="V23" s="198">
        <f>Resultatmappe!BY38</f>
        <v>0</v>
      </c>
      <c r="X23" s="198">
        <f>Resultatmappe!CI38</f>
        <v>0</v>
      </c>
      <c r="Z23" s="197">
        <f>Resultatmappe!FE38</f>
        <v>0</v>
      </c>
      <c r="AB23" s="197">
        <f>Resultatmappe!FK38</f>
        <v>0</v>
      </c>
      <c r="AD23" s="197">
        <f>Resultatmappe!FQ38</f>
        <v>0</v>
      </c>
      <c r="AF23" s="197">
        <f>Resultatmappe!FW38</f>
        <v>0</v>
      </c>
      <c r="AH23" s="197">
        <f>Resultatmappe!GC38</f>
        <v>0</v>
      </c>
      <c r="AJ23" s="197">
        <f>Resultatmappe!GI38</f>
        <v>0</v>
      </c>
      <c r="AL23" s="197" t="str">
        <f>Resultatmappe!IZ38</f>
        <v>Zu wenige Noten</v>
      </c>
      <c r="AN23" s="197">
        <f>Resultatmappe!JJ38</f>
        <v>0</v>
      </c>
      <c r="AP23" s="197">
        <f>Resultatmappe!KI38</f>
        <v>0</v>
      </c>
      <c r="AR23" s="197">
        <f>Resultatmappe!KS38</f>
        <v>0</v>
      </c>
      <c r="AT23" s="197">
        <f>Resultatmappe!LC38</f>
        <v>0</v>
      </c>
      <c r="AV23" s="198">
        <f>Resultatmappe!ML38</f>
        <v>0</v>
      </c>
      <c r="AX23" s="198">
        <f>Resultatmappe!MV38</f>
        <v>0</v>
      </c>
      <c r="AZ23" s="198">
        <f>Resultatmappe!NF38</f>
        <v>0</v>
      </c>
      <c r="BB23" s="198">
        <f>Resultatmappe!NP38</f>
        <v>0</v>
      </c>
      <c r="BD23" s="197">
        <f>Resultatmappe!NZ38</f>
        <v>0</v>
      </c>
      <c r="BF23">
        <f>Resultatmappe!TK38</f>
        <v>0</v>
      </c>
      <c r="BH23" s="198">
        <f>Resultatmappe!TM38</f>
        <v>0</v>
      </c>
      <c r="BJ23" s="197">
        <f>Resultatmappe!UH38</f>
        <v>0</v>
      </c>
      <c r="BL23" s="197">
        <f>Resultatmappe!UQ38</f>
        <v>0</v>
      </c>
      <c r="BN23" s="198">
        <f>Resultatmappe!VL38</f>
        <v>0</v>
      </c>
    </row>
    <row r="24" spans="1:66" x14ac:dyDescent="0.3">
      <c r="A24" s="3">
        <v>0</v>
      </c>
      <c r="B24" s="3">
        <v>0</v>
      </c>
      <c r="C24" s="3"/>
      <c r="D24" s="3">
        <f>Resultatmappe!E39</f>
        <v>0</v>
      </c>
      <c r="E24" s="3"/>
      <c r="F24" s="3" t="str">
        <f>Resultatmappe!TH39</f>
        <v>Disziplin</v>
      </c>
      <c r="G24" s="3"/>
      <c r="H24" s="198">
        <f>Resultatmappe!G39</f>
        <v>0</v>
      </c>
      <c r="J24" s="198">
        <f>Resultatmappe!Q39</f>
        <v>0</v>
      </c>
      <c r="L24" s="198">
        <f>Resultatmappe!AA39</f>
        <v>0</v>
      </c>
      <c r="N24" s="197">
        <f>Resultatmappe!AK39</f>
        <v>0</v>
      </c>
      <c r="P24" s="197">
        <f>Resultatmappe!AU39</f>
        <v>0</v>
      </c>
      <c r="R24" s="197">
        <f>Resultatmappe!BE39</f>
        <v>0</v>
      </c>
      <c r="T24" s="198">
        <f>Resultatmappe!BO39</f>
        <v>0</v>
      </c>
      <c r="V24" s="198">
        <f>Resultatmappe!BY39</f>
        <v>0</v>
      </c>
      <c r="X24" s="198">
        <f>Resultatmappe!CI39</f>
        <v>0</v>
      </c>
      <c r="Z24" s="197">
        <f>Resultatmappe!FE39</f>
        <v>0</v>
      </c>
      <c r="AB24" s="197">
        <f>Resultatmappe!FK39</f>
        <v>0</v>
      </c>
      <c r="AD24" s="197">
        <f>Resultatmappe!FQ39</f>
        <v>0</v>
      </c>
      <c r="AF24" s="197">
        <f>Resultatmappe!FW39</f>
        <v>0</v>
      </c>
      <c r="AH24" s="197">
        <f>Resultatmappe!GC39</f>
        <v>0</v>
      </c>
      <c r="AJ24" s="197">
        <f>Resultatmappe!GI39</f>
        <v>0</v>
      </c>
      <c r="AL24" s="197" t="str">
        <f>Resultatmappe!IZ39</f>
        <v>Zu wenige Noten</v>
      </c>
      <c r="AN24" s="197">
        <f>Resultatmappe!JJ39</f>
        <v>0</v>
      </c>
      <c r="AP24" s="197">
        <f>Resultatmappe!KI39</f>
        <v>0</v>
      </c>
      <c r="AR24" s="197">
        <f>Resultatmappe!KS39</f>
        <v>0</v>
      </c>
      <c r="AT24" s="197">
        <f>Resultatmappe!LC39</f>
        <v>0</v>
      </c>
      <c r="AV24" s="198">
        <f>Resultatmappe!ML39</f>
        <v>0</v>
      </c>
      <c r="AX24" s="198">
        <f>Resultatmappe!MV39</f>
        <v>0</v>
      </c>
      <c r="AZ24" s="198">
        <f>Resultatmappe!NF39</f>
        <v>0</v>
      </c>
      <c r="BB24" s="198">
        <f>Resultatmappe!NP39</f>
        <v>0</v>
      </c>
      <c r="BD24" s="197">
        <f>Resultatmappe!NZ39</f>
        <v>0</v>
      </c>
      <c r="BF24">
        <f>Resultatmappe!TK39</f>
        <v>0</v>
      </c>
      <c r="BH24" s="198">
        <f>Resultatmappe!TM39</f>
        <v>0</v>
      </c>
      <c r="BJ24" s="197">
        <f>Resultatmappe!UH39</f>
        <v>0</v>
      </c>
      <c r="BL24" s="197">
        <f>Resultatmappe!UQ39</f>
        <v>0</v>
      </c>
      <c r="BN24" s="198">
        <f>Resultatmappe!VL39</f>
        <v>0</v>
      </c>
    </row>
    <row r="25" spans="1:66" x14ac:dyDescent="0.3">
      <c r="A25" s="3">
        <v>0</v>
      </c>
      <c r="B25" s="3">
        <v>0</v>
      </c>
      <c r="C25" s="3"/>
      <c r="D25" s="3">
        <f>Resultatmappe!E40</f>
        <v>0</v>
      </c>
      <c r="E25" s="3"/>
      <c r="F25" s="3" t="str">
        <f>Resultatmappe!TH40</f>
        <v>Disziplin</v>
      </c>
      <c r="G25" s="3"/>
      <c r="H25" s="198">
        <f>Resultatmappe!G40</f>
        <v>0</v>
      </c>
      <c r="J25" s="198">
        <f>Resultatmappe!Q40</f>
        <v>0</v>
      </c>
      <c r="L25" s="198">
        <f>Resultatmappe!AA40</f>
        <v>0</v>
      </c>
      <c r="N25" s="197">
        <f>Resultatmappe!AK40</f>
        <v>0</v>
      </c>
      <c r="P25" s="197">
        <f>Resultatmappe!AU40</f>
        <v>0</v>
      </c>
      <c r="R25" s="197">
        <f>Resultatmappe!BE40</f>
        <v>0</v>
      </c>
      <c r="T25" s="198">
        <f>Resultatmappe!BO40</f>
        <v>0</v>
      </c>
      <c r="V25" s="198">
        <f>Resultatmappe!BY40</f>
        <v>0</v>
      </c>
      <c r="X25" s="198">
        <f>Resultatmappe!CI40</f>
        <v>0</v>
      </c>
      <c r="Z25" s="197">
        <f>Resultatmappe!FE40</f>
        <v>0</v>
      </c>
      <c r="AB25" s="197">
        <f>Resultatmappe!FK40</f>
        <v>0</v>
      </c>
      <c r="AD25" s="197">
        <f>Resultatmappe!FQ40</f>
        <v>0</v>
      </c>
      <c r="AF25" s="197">
        <f>Resultatmappe!FW40</f>
        <v>0</v>
      </c>
      <c r="AH25" s="197">
        <f>Resultatmappe!GC40</f>
        <v>0</v>
      </c>
      <c r="AJ25" s="197">
        <f>Resultatmappe!GI40</f>
        <v>0</v>
      </c>
      <c r="AL25" s="197" t="str">
        <f>Resultatmappe!IZ40</f>
        <v>Zu wenige Noten</v>
      </c>
      <c r="AN25" s="197">
        <f>Resultatmappe!JJ40</f>
        <v>0</v>
      </c>
      <c r="AP25" s="197">
        <f>Resultatmappe!KI40</f>
        <v>0</v>
      </c>
      <c r="AR25" s="197">
        <f>Resultatmappe!KS40</f>
        <v>0</v>
      </c>
      <c r="AT25" s="197">
        <f>Resultatmappe!LC40</f>
        <v>0</v>
      </c>
      <c r="AV25" s="198">
        <f>Resultatmappe!ML40</f>
        <v>0</v>
      </c>
      <c r="AX25" s="198">
        <f>Resultatmappe!MV40</f>
        <v>0</v>
      </c>
      <c r="AZ25" s="198">
        <f>Resultatmappe!NF40</f>
        <v>0</v>
      </c>
      <c r="BB25" s="198">
        <f>Resultatmappe!NP40</f>
        <v>0</v>
      </c>
      <c r="BD25" s="197">
        <f>Resultatmappe!NZ40</f>
        <v>0</v>
      </c>
      <c r="BF25">
        <f>Resultatmappe!TK40</f>
        <v>0</v>
      </c>
      <c r="BH25" s="198">
        <f>Resultatmappe!TM40</f>
        <v>0</v>
      </c>
      <c r="BJ25" s="197">
        <f>Resultatmappe!UH40</f>
        <v>0</v>
      </c>
      <c r="BL25" s="197">
        <f>Resultatmappe!UQ40</f>
        <v>0</v>
      </c>
      <c r="BN25" s="198">
        <f>Resultatmappe!VL40</f>
        <v>0</v>
      </c>
    </row>
    <row r="26" spans="1:66" x14ac:dyDescent="0.3">
      <c r="A26" s="3">
        <v>0</v>
      </c>
      <c r="B26" s="3">
        <v>0</v>
      </c>
      <c r="C26" s="3"/>
      <c r="D26" s="3">
        <f>Resultatmappe!E41</f>
        <v>0</v>
      </c>
      <c r="E26" s="3"/>
      <c r="F26" s="3" t="str">
        <f>Resultatmappe!TH41</f>
        <v>Disziplin</v>
      </c>
      <c r="G26" s="3"/>
      <c r="H26" s="198">
        <f>Resultatmappe!G41</f>
        <v>0</v>
      </c>
      <c r="J26" s="198">
        <f>Resultatmappe!Q41</f>
        <v>0</v>
      </c>
      <c r="L26" s="198">
        <f>Resultatmappe!AA41</f>
        <v>0</v>
      </c>
      <c r="N26" s="197">
        <f>Resultatmappe!AK41</f>
        <v>0</v>
      </c>
      <c r="P26" s="197">
        <f>Resultatmappe!AU41</f>
        <v>0</v>
      </c>
      <c r="R26" s="197">
        <f>Resultatmappe!BE41</f>
        <v>0</v>
      </c>
      <c r="T26" s="198">
        <f>Resultatmappe!BO41</f>
        <v>0</v>
      </c>
      <c r="V26" s="198">
        <f>Resultatmappe!BY41</f>
        <v>0</v>
      </c>
      <c r="X26" s="198">
        <f>Resultatmappe!CI41</f>
        <v>0</v>
      </c>
      <c r="Z26" s="197">
        <f>Resultatmappe!FE41</f>
        <v>0</v>
      </c>
      <c r="AB26" s="197">
        <f>Resultatmappe!FK41</f>
        <v>0</v>
      </c>
      <c r="AD26" s="197">
        <f>Resultatmappe!FQ41</f>
        <v>0</v>
      </c>
      <c r="AF26" s="197">
        <f>Resultatmappe!FW41</f>
        <v>0</v>
      </c>
      <c r="AH26" s="197">
        <f>Resultatmappe!GC41</f>
        <v>0</v>
      </c>
      <c r="AJ26" s="197">
        <f>Resultatmappe!GI41</f>
        <v>0</v>
      </c>
      <c r="AL26" s="197" t="str">
        <f>Resultatmappe!IZ41</f>
        <v>Zu wenige Noten</v>
      </c>
      <c r="AN26" s="197">
        <f>Resultatmappe!JJ41</f>
        <v>0</v>
      </c>
      <c r="AP26" s="197">
        <f>Resultatmappe!KI41</f>
        <v>0</v>
      </c>
      <c r="AR26" s="197">
        <f>Resultatmappe!KS41</f>
        <v>0</v>
      </c>
      <c r="AT26" s="197">
        <f>Resultatmappe!LC41</f>
        <v>0</v>
      </c>
      <c r="AV26" s="198">
        <f>Resultatmappe!ML41</f>
        <v>0</v>
      </c>
      <c r="AX26" s="198">
        <f>Resultatmappe!MV41</f>
        <v>0</v>
      </c>
      <c r="AZ26" s="198">
        <f>Resultatmappe!NF41</f>
        <v>0</v>
      </c>
      <c r="BB26" s="198">
        <f>Resultatmappe!NP41</f>
        <v>0</v>
      </c>
      <c r="BD26" s="197">
        <f>Resultatmappe!NZ41</f>
        <v>0</v>
      </c>
      <c r="BF26">
        <f>Resultatmappe!TK41</f>
        <v>0</v>
      </c>
      <c r="BH26" s="198">
        <f>Resultatmappe!TM41</f>
        <v>0</v>
      </c>
      <c r="BJ26" s="197">
        <f>Resultatmappe!UH41</f>
        <v>0</v>
      </c>
      <c r="BL26" s="197">
        <f>Resultatmappe!UQ41</f>
        <v>0</v>
      </c>
      <c r="BN26" s="198">
        <f>Resultatmappe!VL41</f>
        <v>0</v>
      </c>
    </row>
    <row r="27" spans="1:66" x14ac:dyDescent="0.3">
      <c r="A27" s="3">
        <v>0</v>
      </c>
      <c r="B27" s="3">
        <v>0</v>
      </c>
      <c r="C27" s="3"/>
      <c r="D27" s="3">
        <f>Resultatmappe!E42</f>
        <v>0</v>
      </c>
      <c r="E27" s="3"/>
      <c r="F27" s="3" t="str">
        <f>Resultatmappe!TH42</f>
        <v>Disziplin</v>
      </c>
      <c r="G27" s="3"/>
      <c r="H27" s="198">
        <f>Resultatmappe!G42</f>
        <v>0</v>
      </c>
      <c r="J27" s="198">
        <f>Resultatmappe!Q42</f>
        <v>0</v>
      </c>
      <c r="L27" s="198">
        <f>Resultatmappe!AA42</f>
        <v>0</v>
      </c>
      <c r="N27" s="197">
        <f>Resultatmappe!AK42</f>
        <v>0</v>
      </c>
      <c r="P27" s="197">
        <f>Resultatmappe!AU42</f>
        <v>0</v>
      </c>
      <c r="R27" s="197">
        <f>Resultatmappe!BE42</f>
        <v>0</v>
      </c>
      <c r="T27" s="198">
        <f>Resultatmappe!BO42</f>
        <v>0</v>
      </c>
      <c r="V27" s="198">
        <f>Resultatmappe!BY42</f>
        <v>0</v>
      </c>
      <c r="X27" s="198">
        <f>Resultatmappe!CI42</f>
        <v>0</v>
      </c>
      <c r="Z27" s="197">
        <f>Resultatmappe!FE42</f>
        <v>0</v>
      </c>
      <c r="AB27" s="197">
        <f>Resultatmappe!FK42</f>
        <v>0</v>
      </c>
      <c r="AD27" s="197">
        <f>Resultatmappe!FQ42</f>
        <v>0</v>
      </c>
      <c r="AF27" s="197">
        <f>Resultatmappe!FW42</f>
        <v>0</v>
      </c>
      <c r="AH27" s="197">
        <f>Resultatmappe!GC42</f>
        <v>0</v>
      </c>
      <c r="AJ27" s="197">
        <f>Resultatmappe!GI42</f>
        <v>0</v>
      </c>
      <c r="AL27" s="197" t="str">
        <f>Resultatmappe!IZ42</f>
        <v>Zu wenige Noten</v>
      </c>
      <c r="AN27" s="197">
        <f>Resultatmappe!JJ42</f>
        <v>0</v>
      </c>
      <c r="AP27" s="197">
        <f>Resultatmappe!KI42</f>
        <v>0</v>
      </c>
      <c r="AR27" s="197">
        <f>Resultatmappe!KS42</f>
        <v>0</v>
      </c>
      <c r="AT27" s="197">
        <f>Resultatmappe!LC42</f>
        <v>0</v>
      </c>
      <c r="AV27" s="198">
        <f>Resultatmappe!ML42</f>
        <v>0</v>
      </c>
      <c r="AX27" s="198">
        <f>Resultatmappe!MV42</f>
        <v>0</v>
      </c>
      <c r="AZ27" s="198">
        <f>Resultatmappe!NF42</f>
        <v>0</v>
      </c>
      <c r="BB27" s="198">
        <f>Resultatmappe!NP42</f>
        <v>0</v>
      </c>
      <c r="BD27" s="197">
        <f>Resultatmappe!NZ42</f>
        <v>0</v>
      </c>
      <c r="BF27">
        <f>Resultatmappe!TK42</f>
        <v>0</v>
      </c>
      <c r="BH27" s="198">
        <f>Resultatmappe!TM42</f>
        <v>0</v>
      </c>
      <c r="BJ27" s="197">
        <f>Resultatmappe!UH42</f>
        <v>0</v>
      </c>
      <c r="BL27" s="197">
        <f>Resultatmappe!UQ42</f>
        <v>0</v>
      </c>
      <c r="BN27" s="198">
        <f>Resultatmappe!VL42</f>
        <v>0</v>
      </c>
    </row>
    <row r="28" spans="1:66" x14ac:dyDescent="0.3">
      <c r="A28" s="3">
        <v>0</v>
      </c>
      <c r="B28" s="3">
        <v>0</v>
      </c>
      <c r="C28" s="3"/>
      <c r="D28" s="3">
        <f>Resultatmappe!E43</f>
        <v>0</v>
      </c>
      <c r="E28" s="3"/>
      <c r="F28" s="3" t="str">
        <f>Resultatmappe!TH43</f>
        <v>Disziplin</v>
      </c>
      <c r="G28" s="3"/>
      <c r="H28" s="198">
        <f>Resultatmappe!G43</f>
        <v>0</v>
      </c>
      <c r="J28" s="198">
        <f>Resultatmappe!Q43</f>
        <v>0</v>
      </c>
      <c r="L28" s="198">
        <f>Resultatmappe!AA43</f>
        <v>0</v>
      </c>
      <c r="N28" s="197">
        <f>Resultatmappe!AK43</f>
        <v>0</v>
      </c>
      <c r="P28" s="197">
        <f>Resultatmappe!AU43</f>
        <v>0</v>
      </c>
      <c r="R28" s="197">
        <f>Resultatmappe!BE43</f>
        <v>0</v>
      </c>
      <c r="T28" s="198">
        <f>Resultatmappe!BO43</f>
        <v>0</v>
      </c>
      <c r="V28" s="198">
        <f>Resultatmappe!BY43</f>
        <v>0</v>
      </c>
      <c r="X28" s="198">
        <f>Resultatmappe!CI43</f>
        <v>0</v>
      </c>
      <c r="Z28" s="197">
        <f>Resultatmappe!FE43</f>
        <v>0</v>
      </c>
      <c r="AB28" s="197">
        <f>Resultatmappe!FK43</f>
        <v>0</v>
      </c>
      <c r="AD28" s="197">
        <f>Resultatmappe!FQ43</f>
        <v>0</v>
      </c>
      <c r="AF28" s="197">
        <f>Resultatmappe!FW43</f>
        <v>0</v>
      </c>
      <c r="AH28" s="197">
        <f>Resultatmappe!GC43</f>
        <v>0</v>
      </c>
      <c r="AJ28" s="197">
        <f>Resultatmappe!GI43</f>
        <v>0</v>
      </c>
      <c r="AL28" s="197" t="str">
        <f>Resultatmappe!IZ43</f>
        <v>Zu wenige Noten</v>
      </c>
      <c r="AN28" s="197">
        <f>Resultatmappe!JJ43</f>
        <v>0</v>
      </c>
      <c r="AP28" s="197">
        <f>Resultatmappe!KI43</f>
        <v>0</v>
      </c>
      <c r="AR28" s="197">
        <f>Resultatmappe!KS43</f>
        <v>0</v>
      </c>
      <c r="AT28" s="197">
        <f>Resultatmappe!LC43</f>
        <v>0</v>
      </c>
      <c r="AV28" s="198">
        <f>Resultatmappe!ML43</f>
        <v>0</v>
      </c>
      <c r="AX28" s="198">
        <f>Resultatmappe!MV43</f>
        <v>0</v>
      </c>
      <c r="AZ28" s="198">
        <f>Resultatmappe!NF43</f>
        <v>0</v>
      </c>
      <c r="BB28" s="198">
        <f>Resultatmappe!NP43</f>
        <v>0</v>
      </c>
      <c r="BD28" s="197">
        <f>Resultatmappe!NZ43</f>
        <v>0</v>
      </c>
      <c r="BF28">
        <f>Resultatmappe!TK43</f>
        <v>0</v>
      </c>
      <c r="BH28" s="198">
        <f>Resultatmappe!TM43</f>
        <v>0</v>
      </c>
      <c r="BJ28" s="197">
        <f>Resultatmappe!UH43</f>
        <v>0</v>
      </c>
      <c r="BL28" s="197">
        <f>Resultatmappe!UQ43</f>
        <v>0</v>
      </c>
      <c r="BN28" s="198">
        <f>Resultatmappe!VL43</f>
        <v>0</v>
      </c>
    </row>
    <row r="29" spans="1:66" x14ac:dyDescent="0.3">
      <c r="A29" s="3">
        <v>0</v>
      </c>
      <c r="B29" s="3">
        <v>0</v>
      </c>
      <c r="C29" s="3"/>
      <c r="D29" s="3">
        <f>Resultatmappe!E44</f>
        <v>0</v>
      </c>
      <c r="E29" s="3"/>
      <c r="F29" s="3" t="str">
        <f>Resultatmappe!TH44</f>
        <v>Disziplin</v>
      </c>
      <c r="G29" s="3"/>
      <c r="H29" s="198">
        <f>Resultatmappe!G44</f>
        <v>0</v>
      </c>
      <c r="J29" s="198">
        <f>Resultatmappe!Q44</f>
        <v>0</v>
      </c>
      <c r="L29" s="198">
        <f>Resultatmappe!AA44</f>
        <v>0</v>
      </c>
      <c r="N29" s="197">
        <f>Resultatmappe!AK44</f>
        <v>0</v>
      </c>
      <c r="P29" s="197">
        <f>Resultatmappe!AU44</f>
        <v>0</v>
      </c>
      <c r="R29" s="197">
        <f>Resultatmappe!BE44</f>
        <v>0</v>
      </c>
      <c r="T29" s="198">
        <f>Resultatmappe!BO44</f>
        <v>0</v>
      </c>
      <c r="V29" s="198">
        <f>Resultatmappe!BY44</f>
        <v>0</v>
      </c>
      <c r="X29" s="198">
        <f>Resultatmappe!CI44</f>
        <v>0</v>
      </c>
      <c r="Z29" s="197">
        <f>Resultatmappe!FE44</f>
        <v>0</v>
      </c>
      <c r="AB29" s="197">
        <f>Resultatmappe!FK44</f>
        <v>0</v>
      </c>
      <c r="AD29" s="197">
        <f>Resultatmappe!FQ44</f>
        <v>0</v>
      </c>
      <c r="AF29" s="197">
        <f>Resultatmappe!FW44</f>
        <v>0</v>
      </c>
      <c r="AH29" s="197">
        <f>Resultatmappe!GC44</f>
        <v>0</v>
      </c>
      <c r="AJ29" s="197">
        <f>Resultatmappe!GI44</f>
        <v>0</v>
      </c>
      <c r="AL29" s="197" t="str">
        <f>Resultatmappe!IZ44</f>
        <v>Zu wenige Noten</v>
      </c>
      <c r="AN29" s="197">
        <f>Resultatmappe!JJ44</f>
        <v>0</v>
      </c>
      <c r="AP29" s="197">
        <f>Resultatmappe!KI44</f>
        <v>0</v>
      </c>
      <c r="AR29" s="197">
        <f>Resultatmappe!KS44</f>
        <v>0</v>
      </c>
      <c r="AT29" s="197">
        <f>Resultatmappe!LC44</f>
        <v>0</v>
      </c>
      <c r="AV29" s="198">
        <f>Resultatmappe!ML44</f>
        <v>0</v>
      </c>
      <c r="AX29" s="198">
        <f>Resultatmappe!MV44</f>
        <v>0</v>
      </c>
      <c r="AZ29" s="198">
        <f>Resultatmappe!NF44</f>
        <v>0</v>
      </c>
      <c r="BB29" s="198">
        <f>Resultatmappe!NP44</f>
        <v>0</v>
      </c>
      <c r="BD29" s="197">
        <f>Resultatmappe!NZ44</f>
        <v>0</v>
      </c>
      <c r="BF29">
        <f>Resultatmappe!TK44</f>
        <v>0</v>
      </c>
      <c r="BH29" s="198">
        <f>Resultatmappe!TM44</f>
        <v>0</v>
      </c>
      <c r="BJ29" s="197">
        <f>Resultatmappe!UH44</f>
        <v>0</v>
      </c>
      <c r="BL29" s="197">
        <f>Resultatmappe!UQ44</f>
        <v>0</v>
      </c>
      <c r="BN29" s="198">
        <f>Resultatmappe!VL44</f>
        <v>0</v>
      </c>
    </row>
    <row r="30" spans="1:66" x14ac:dyDescent="0.3">
      <c r="A30" s="3">
        <v>0</v>
      </c>
      <c r="B30" s="3">
        <v>0</v>
      </c>
      <c r="C30" s="3"/>
      <c r="D30" s="3">
        <f>Resultatmappe!E45</f>
        <v>0</v>
      </c>
      <c r="E30" s="3"/>
      <c r="F30" s="3" t="str">
        <f>Resultatmappe!TH45</f>
        <v>Disziplin</v>
      </c>
      <c r="G30" s="3"/>
      <c r="H30" s="198">
        <f>Resultatmappe!G45</f>
        <v>0</v>
      </c>
      <c r="J30" s="198">
        <f>Resultatmappe!Q45</f>
        <v>0</v>
      </c>
      <c r="L30" s="198">
        <f>Resultatmappe!AA45</f>
        <v>0</v>
      </c>
      <c r="N30" s="197">
        <f>Resultatmappe!AK45</f>
        <v>0</v>
      </c>
      <c r="P30" s="197">
        <f>Resultatmappe!AU45</f>
        <v>0</v>
      </c>
      <c r="R30" s="197">
        <f>Resultatmappe!BE45</f>
        <v>0</v>
      </c>
      <c r="T30" s="198">
        <f>Resultatmappe!BO45</f>
        <v>0</v>
      </c>
      <c r="V30" s="198">
        <f>Resultatmappe!BY45</f>
        <v>0</v>
      </c>
      <c r="X30" s="198">
        <f>Resultatmappe!CI45</f>
        <v>0</v>
      </c>
      <c r="Z30" s="197">
        <f>Resultatmappe!FE45</f>
        <v>0</v>
      </c>
      <c r="AB30" s="197">
        <f>Resultatmappe!FK45</f>
        <v>0</v>
      </c>
      <c r="AD30" s="197">
        <f>Resultatmappe!FQ45</f>
        <v>0</v>
      </c>
      <c r="AF30" s="197">
        <f>Resultatmappe!FW45</f>
        <v>0</v>
      </c>
      <c r="AH30" s="197">
        <f>Resultatmappe!GC45</f>
        <v>0</v>
      </c>
      <c r="AJ30" s="197">
        <f>Resultatmappe!GI45</f>
        <v>0</v>
      </c>
      <c r="AL30" s="197" t="str">
        <f>Resultatmappe!IZ45</f>
        <v>Zu wenige Noten</v>
      </c>
      <c r="AN30" s="197">
        <f>Resultatmappe!JJ45</f>
        <v>0</v>
      </c>
      <c r="AP30" s="197">
        <f>Resultatmappe!KI45</f>
        <v>0</v>
      </c>
      <c r="AR30" s="197">
        <f>Resultatmappe!KS45</f>
        <v>0</v>
      </c>
      <c r="AT30" s="197">
        <f>Resultatmappe!LC45</f>
        <v>0</v>
      </c>
      <c r="AV30" s="198">
        <f>Resultatmappe!ML45</f>
        <v>0</v>
      </c>
      <c r="AX30" s="198">
        <f>Resultatmappe!MV45</f>
        <v>0</v>
      </c>
      <c r="AZ30" s="198">
        <f>Resultatmappe!NF45</f>
        <v>0</v>
      </c>
      <c r="BB30" s="198">
        <f>Resultatmappe!NP45</f>
        <v>0</v>
      </c>
      <c r="BD30" s="197">
        <f>Resultatmappe!NZ45</f>
        <v>0</v>
      </c>
      <c r="BF30">
        <f>Resultatmappe!TK45</f>
        <v>0</v>
      </c>
      <c r="BH30" s="198">
        <f>Resultatmappe!TM45</f>
        <v>0</v>
      </c>
      <c r="BJ30" s="197">
        <f>Resultatmappe!UH45</f>
        <v>0</v>
      </c>
      <c r="BL30" s="197">
        <f>Resultatmappe!UQ45</f>
        <v>0</v>
      </c>
      <c r="BN30" s="198">
        <f>Resultatmappe!VL45</f>
        <v>0</v>
      </c>
    </row>
    <row r="31" spans="1:66" x14ac:dyDescent="0.3">
      <c r="A31" s="3">
        <v>0</v>
      </c>
      <c r="B31" s="3">
        <v>0</v>
      </c>
      <c r="C31" s="3"/>
      <c r="D31" s="3">
        <f>Resultatmappe!E46</f>
        <v>0</v>
      </c>
      <c r="E31" s="3"/>
      <c r="F31" s="3" t="str">
        <f>Resultatmappe!TH46</f>
        <v>Disziplin</v>
      </c>
      <c r="G31" s="3"/>
      <c r="H31" s="198">
        <f>Resultatmappe!G46</f>
        <v>0</v>
      </c>
      <c r="J31" s="198">
        <f>Resultatmappe!Q46</f>
        <v>0</v>
      </c>
      <c r="L31" s="198">
        <f>Resultatmappe!AA46</f>
        <v>0</v>
      </c>
      <c r="N31" s="197">
        <f>Resultatmappe!AK46</f>
        <v>0</v>
      </c>
      <c r="P31" s="197">
        <f>Resultatmappe!AU46</f>
        <v>0</v>
      </c>
      <c r="R31" s="197">
        <f>Resultatmappe!BE46</f>
        <v>0</v>
      </c>
      <c r="T31" s="198">
        <f>Resultatmappe!BO46</f>
        <v>0</v>
      </c>
      <c r="V31" s="198">
        <f>Resultatmappe!BY46</f>
        <v>0</v>
      </c>
      <c r="X31" s="198">
        <f>Resultatmappe!CI46</f>
        <v>0</v>
      </c>
      <c r="Z31" s="197">
        <f>Resultatmappe!FE46</f>
        <v>0</v>
      </c>
      <c r="AB31" s="197">
        <f>Resultatmappe!FK46</f>
        <v>0</v>
      </c>
      <c r="AD31" s="197">
        <f>Resultatmappe!FQ46</f>
        <v>0</v>
      </c>
      <c r="AF31" s="197">
        <f>Resultatmappe!FW46</f>
        <v>0</v>
      </c>
      <c r="AH31" s="197">
        <f>Resultatmappe!GC46</f>
        <v>0</v>
      </c>
      <c r="AJ31" s="197">
        <f>Resultatmappe!GI46</f>
        <v>0</v>
      </c>
      <c r="AL31" s="197" t="str">
        <f>Resultatmappe!IZ46</f>
        <v>Zu wenige Noten</v>
      </c>
      <c r="AN31" s="197">
        <f>Resultatmappe!JJ46</f>
        <v>0</v>
      </c>
      <c r="AP31" s="197">
        <f>Resultatmappe!KI46</f>
        <v>0</v>
      </c>
      <c r="AR31" s="197">
        <f>Resultatmappe!KS46</f>
        <v>0</v>
      </c>
      <c r="AT31" s="197">
        <f>Resultatmappe!LC46</f>
        <v>0</v>
      </c>
      <c r="AV31" s="198">
        <f>Resultatmappe!ML46</f>
        <v>0</v>
      </c>
      <c r="AX31" s="198">
        <f>Resultatmappe!MV46</f>
        <v>0</v>
      </c>
      <c r="AZ31" s="198">
        <f>Resultatmappe!NF46</f>
        <v>0</v>
      </c>
      <c r="BB31" s="198">
        <f>Resultatmappe!NP46</f>
        <v>0</v>
      </c>
      <c r="BD31" s="197">
        <f>Resultatmappe!NZ46</f>
        <v>0</v>
      </c>
      <c r="BF31">
        <f>Resultatmappe!TK46</f>
        <v>0</v>
      </c>
      <c r="BH31" s="198">
        <f>Resultatmappe!TM46</f>
        <v>0</v>
      </c>
      <c r="BJ31" s="197">
        <f>Resultatmappe!UH46</f>
        <v>0</v>
      </c>
      <c r="BL31" s="197">
        <f>Resultatmappe!UQ46</f>
        <v>0</v>
      </c>
      <c r="BN31" s="198">
        <f>Resultatmappe!VL46</f>
        <v>0</v>
      </c>
    </row>
    <row r="32" spans="1:66" x14ac:dyDescent="0.3">
      <c r="A32" s="3">
        <v>0</v>
      </c>
      <c r="B32" s="3">
        <v>0</v>
      </c>
      <c r="C32" s="3"/>
      <c r="D32" s="3">
        <f>Resultatmappe!E47</f>
        <v>0</v>
      </c>
      <c r="E32" s="3"/>
      <c r="F32" s="3" t="str">
        <f>Resultatmappe!TH47</f>
        <v>Disziplin</v>
      </c>
      <c r="G32" s="3"/>
      <c r="H32" s="198">
        <f>Resultatmappe!G47</f>
        <v>0</v>
      </c>
      <c r="J32" s="198">
        <f>Resultatmappe!Q47</f>
        <v>0</v>
      </c>
      <c r="L32" s="198">
        <f>Resultatmappe!AA47</f>
        <v>0</v>
      </c>
      <c r="N32" s="197">
        <f>Resultatmappe!AK47</f>
        <v>0</v>
      </c>
      <c r="P32" s="197">
        <f>Resultatmappe!AU47</f>
        <v>0</v>
      </c>
      <c r="R32" s="197">
        <f>Resultatmappe!BE47</f>
        <v>0</v>
      </c>
      <c r="T32" s="198">
        <f>Resultatmappe!BO47</f>
        <v>0</v>
      </c>
      <c r="V32" s="198">
        <f>Resultatmappe!BY47</f>
        <v>0</v>
      </c>
      <c r="X32" s="198">
        <f>Resultatmappe!CI47</f>
        <v>0</v>
      </c>
      <c r="Z32" s="197">
        <f>Resultatmappe!FE47</f>
        <v>0</v>
      </c>
      <c r="AB32" s="197">
        <f>Resultatmappe!FK47</f>
        <v>0</v>
      </c>
      <c r="AD32" s="197">
        <f>Resultatmappe!FQ47</f>
        <v>0</v>
      </c>
      <c r="AF32" s="197">
        <f>Resultatmappe!FW47</f>
        <v>0</v>
      </c>
      <c r="AH32" s="197">
        <f>Resultatmappe!GC47</f>
        <v>0</v>
      </c>
      <c r="AJ32" s="197">
        <f>Resultatmappe!GI47</f>
        <v>0</v>
      </c>
      <c r="AL32" s="197" t="str">
        <f>Resultatmappe!IZ47</f>
        <v>Zu wenige Noten</v>
      </c>
      <c r="AN32" s="197">
        <f>Resultatmappe!JJ47</f>
        <v>0</v>
      </c>
      <c r="AP32" s="197">
        <f>Resultatmappe!KI47</f>
        <v>0</v>
      </c>
      <c r="AR32" s="197">
        <f>Resultatmappe!KS47</f>
        <v>0</v>
      </c>
      <c r="AT32" s="197">
        <f>Resultatmappe!LC47</f>
        <v>0</v>
      </c>
      <c r="AV32" s="198">
        <f>Resultatmappe!ML47</f>
        <v>0</v>
      </c>
      <c r="AX32" s="198">
        <f>Resultatmappe!MV47</f>
        <v>0</v>
      </c>
      <c r="AZ32" s="198">
        <f>Resultatmappe!NF47</f>
        <v>0</v>
      </c>
      <c r="BB32" s="198">
        <f>Resultatmappe!NP47</f>
        <v>0</v>
      </c>
      <c r="BD32" s="197">
        <f>Resultatmappe!NZ47</f>
        <v>0</v>
      </c>
      <c r="BF32">
        <f>Resultatmappe!TK47</f>
        <v>0</v>
      </c>
      <c r="BH32" s="198">
        <f>Resultatmappe!TM47</f>
        <v>0</v>
      </c>
      <c r="BJ32" s="197">
        <f>Resultatmappe!UH47</f>
        <v>0</v>
      </c>
      <c r="BL32" s="197">
        <f>Resultatmappe!UQ47</f>
        <v>0</v>
      </c>
      <c r="BN32" s="198">
        <f>Resultatmappe!VL47</f>
        <v>0</v>
      </c>
    </row>
    <row r="33" spans="1:66" x14ac:dyDescent="0.3">
      <c r="A33" s="3">
        <v>0</v>
      </c>
      <c r="B33" s="3">
        <v>0</v>
      </c>
      <c r="C33" s="3"/>
      <c r="D33" s="3">
        <f>Resultatmappe!E48</f>
        <v>0</v>
      </c>
      <c r="E33" s="3"/>
      <c r="F33" s="3" t="str">
        <f>Resultatmappe!TH48</f>
        <v>Disziplin</v>
      </c>
      <c r="G33" s="3"/>
      <c r="H33" s="198">
        <f>Resultatmappe!G48</f>
        <v>0</v>
      </c>
      <c r="J33" s="198">
        <f>Resultatmappe!Q48</f>
        <v>0</v>
      </c>
      <c r="L33" s="198">
        <f>Resultatmappe!AA48</f>
        <v>0</v>
      </c>
      <c r="N33" s="197">
        <f>Resultatmappe!AK48</f>
        <v>0</v>
      </c>
      <c r="P33" s="197">
        <f>Resultatmappe!AU48</f>
        <v>0</v>
      </c>
      <c r="R33" s="197">
        <f>Resultatmappe!BE48</f>
        <v>0</v>
      </c>
      <c r="T33" s="198">
        <f>Resultatmappe!BO48</f>
        <v>0</v>
      </c>
      <c r="V33" s="198">
        <f>Resultatmappe!BY48</f>
        <v>0</v>
      </c>
      <c r="X33" s="198">
        <f>Resultatmappe!CI48</f>
        <v>0</v>
      </c>
      <c r="Z33" s="197">
        <f>Resultatmappe!FE48</f>
        <v>0</v>
      </c>
      <c r="AB33" s="197">
        <f>Resultatmappe!FK48</f>
        <v>0</v>
      </c>
      <c r="AD33" s="197">
        <f>Resultatmappe!FQ48</f>
        <v>0</v>
      </c>
      <c r="AF33" s="197">
        <f>Resultatmappe!FW48</f>
        <v>0</v>
      </c>
      <c r="AH33" s="197">
        <f>Resultatmappe!GC48</f>
        <v>0</v>
      </c>
      <c r="AJ33" s="197">
        <f>Resultatmappe!GI48</f>
        <v>0</v>
      </c>
      <c r="AL33" s="197" t="str">
        <f>Resultatmappe!IZ48</f>
        <v>Zu wenige Noten</v>
      </c>
      <c r="AN33" s="197">
        <f>Resultatmappe!JJ48</f>
        <v>0</v>
      </c>
      <c r="AP33" s="197">
        <f>Resultatmappe!KI48</f>
        <v>0</v>
      </c>
      <c r="AR33" s="197">
        <f>Resultatmappe!KS48</f>
        <v>0</v>
      </c>
      <c r="AT33" s="197">
        <f>Resultatmappe!LC48</f>
        <v>0</v>
      </c>
      <c r="AV33" s="198">
        <f>Resultatmappe!ML48</f>
        <v>0</v>
      </c>
      <c r="AX33" s="198">
        <f>Resultatmappe!MV48</f>
        <v>0</v>
      </c>
      <c r="AZ33" s="198">
        <f>Resultatmappe!NF48</f>
        <v>0</v>
      </c>
      <c r="BB33" s="198">
        <f>Resultatmappe!NP48</f>
        <v>0</v>
      </c>
      <c r="BD33" s="197">
        <f>Resultatmappe!NZ48</f>
        <v>0</v>
      </c>
      <c r="BF33">
        <f>Resultatmappe!TK48</f>
        <v>0</v>
      </c>
      <c r="BH33" s="198">
        <f>Resultatmappe!TM48</f>
        <v>0</v>
      </c>
      <c r="BJ33" s="197">
        <f>Resultatmappe!UH48</f>
        <v>0</v>
      </c>
      <c r="BL33" s="197">
        <f>Resultatmappe!UQ48</f>
        <v>0</v>
      </c>
      <c r="BN33" s="198">
        <f>Resultatmappe!VL48</f>
        <v>0</v>
      </c>
    </row>
    <row r="35" spans="1:66" x14ac:dyDescent="0.3">
      <c r="H35" t="s">
        <v>238</v>
      </c>
      <c r="J35" t="s">
        <v>239</v>
      </c>
      <c r="L35" t="s">
        <v>240</v>
      </c>
      <c r="N35" t="s">
        <v>241</v>
      </c>
      <c r="P35" t="s">
        <v>242</v>
      </c>
      <c r="R35" t="s">
        <v>243</v>
      </c>
      <c r="T35" t="s">
        <v>244</v>
      </c>
      <c r="V35" t="s">
        <v>245</v>
      </c>
      <c r="X35" t="s">
        <v>246</v>
      </c>
      <c r="Z35" t="s">
        <v>247</v>
      </c>
      <c r="AB35" t="s">
        <v>248</v>
      </c>
      <c r="AD35" t="s">
        <v>249</v>
      </c>
      <c r="AF35" t="s">
        <v>250</v>
      </c>
      <c r="AH35" t="s">
        <v>251</v>
      </c>
      <c r="AJ35" t="s">
        <v>252</v>
      </c>
      <c r="AL35" t="s">
        <v>253</v>
      </c>
      <c r="AN35" t="s">
        <v>254</v>
      </c>
      <c r="AP35" t="s">
        <v>255</v>
      </c>
      <c r="AR35" t="s">
        <v>256</v>
      </c>
      <c r="AT35" t="s">
        <v>257</v>
      </c>
      <c r="AV35" t="s">
        <v>258</v>
      </c>
      <c r="AX35" t="s">
        <v>259</v>
      </c>
      <c r="AZ35" t="s">
        <v>260</v>
      </c>
      <c r="BB35" t="s">
        <v>261</v>
      </c>
      <c r="BD35" t="s">
        <v>262</v>
      </c>
      <c r="BF35" t="s">
        <v>263</v>
      </c>
      <c r="BH35" t="s">
        <v>264</v>
      </c>
      <c r="BJ35" t="s">
        <v>265</v>
      </c>
      <c r="BL35" t="s">
        <v>266</v>
      </c>
      <c r="BN35" t="s">
        <v>267</v>
      </c>
    </row>
    <row r="36" spans="1:66" x14ac:dyDescent="0.3">
      <c r="A36" s="3">
        <f t="array" ref="A36:A65">A4:A33</f>
        <v>0</v>
      </c>
      <c r="B36" s="3">
        <f t="array" ref="B36:B65">B4:B33</f>
        <v>0</v>
      </c>
      <c r="H36" t="str">
        <f ca="1">Resultatmappe!O19</f>
        <v/>
      </c>
      <c r="J36" t="str">
        <f ca="1">Resultatmappe!Y19</f>
        <v/>
      </c>
      <c r="L36" t="str">
        <f ca="1">Resultatmappe!AI19</f>
        <v/>
      </c>
      <c r="N36" t="str">
        <f ca="1">Resultatmappe!AS19</f>
        <v/>
      </c>
      <c r="P36" t="str">
        <f ca="1">Resultatmappe!BC19</f>
        <v/>
      </c>
      <c r="R36" t="str">
        <f ca="1">Resultatmappe!BM19</f>
        <v/>
      </c>
      <c r="T36" t="str">
        <f ca="1">Resultatmappe!BW19</f>
        <v/>
      </c>
      <c r="V36" t="str">
        <f ca="1">Resultatmappe!CG19</f>
        <v/>
      </c>
      <c r="X36" t="str">
        <f ca="1">Resultatmappe!CQ19</f>
        <v/>
      </c>
      <c r="AL36" s="198" t="str">
        <f ca="1">Resultatmappe!JH19</f>
        <v/>
      </c>
      <c r="AN36" t="str">
        <f ca="1">Resultatmappe!JR19</f>
        <v/>
      </c>
      <c r="AP36" s="198" t="str">
        <f ca="1">Resultatmappe!KQ19</f>
        <v/>
      </c>
      <c r="AR36" s="198" t="str">
        <f ca="1">Resultatmappe!LA19</f>
        <v/>
      </c>
      <c r="AT36" s="198" t="str">
        <f ca="1">Resultatmappe!LK19</f>
        <v/>
      </c>
      <c r="AV36" t="str">
        <f ca="1">Resultatmappe!MT19</f>
        <v/>
      </c>
      <c r="AX36" t="str">
        <f ca="1">Resultatmappe!ND19</f>
        <v/>
      </c>
      <c r="AZ36" t="str">
        <f ca="1">Resultatmappe!NN19</f>
        <v/>
      </c>
      <c r="BB36" t="str">
        <f ca="1">Resultatmappe!NX19</f>
        <v/>
      </c>
      <c r="BD36" t="str">
        <f ca="1">Resultatmappe!OH19</f>
        <v/>
      </c>
      <c r="BH36" s="198" t="str">
        <f ca="1">Resultatmappe!TT19</f>
        <v/>
      </c>
      <c r="BJ36" s="197" t="str">
        <f ca="1">Resultatmappe!UO19</f>
        <v/>
      </c>
      <c r="BL36" t="str">
        <f ca="1">Resultatmappe!UX19</f>
        <v/>
      </c>
      <c r="BN36" t="str">
        <f ca="1">Resultatmappe!VT19</f>
        <v/>
      </c>
    </row>
    <row r="37" spans="1:66" x14ac:dyDescent="0.3">
      <c r="A37" s="3">
        <v>0</v>
      </c>
      <c r="B37" s="3">
        <v>0</v>
      </c>
      <c r="H37" t="str">
        <f ca="1">Resultatmappe!O20</f>
        <v/>
      </c>
      <c r="J37" t="str">
        <f ca="1">Resultatmappe!Y20</f>
        <v/>
      </c>
      <c r="L37" t="str">
        <f ca="1">Resultatmappe!AI20</f>
        <v/>
      </c>
      <c r="N37" t="str">
        <f ca="1">Resultatmappe!AS20</f>
        <v/>
      </c>
      <c r="P37" t="str">
        <f ca="1">Resultatmappe!BC20</f>
        <v/>
      </c>
      <c r="R37" t="str">
        <f ca="1">Resultatmappe!BM20</f>
        <v/>
      </c>
      <c r="T37" t="str">
        <f ca="1">Resultatmappe!BW20</f>
        <v/>
      </c>
      <c r="V37" t="str">
        <f ca="1">Resultatmappe!CG20</f>
        <v/>
      </c>
      <c r="X37" t="str">
        <f ca="1">Resultatmappe!CQ20</f>
        <v/>
      </c>
      <c r="AL37" s="198" t="str">
        <f ca="1">Resultatmappe!JH20</f>
        <v/>
      </c>
      <c r="AN37" t="str">
        <f ca="1">Resultatmappe!JR20</f>
        <v/>
      </c>
      <c r="AP37" s="198" t="str">
        <f ca="1">Resultatmappe!KQ20</f>
        <v/>
      </c>
      <c r="AR37" s="198" t="str">
        <f ca="1">Resultatmappe!LA20</f>
        <v/>
      </c>
      <c r="AT37" s="198" t="str">
        <f ca="1">Resultatmappe!LK20</f>
        <v/>
      </c>
      <c r="AV37" t="str">
        <f ca="1">Resultatmappe!MT20</f>
        <v/>
      </c>
      <c r="AX37" t="str">
        <f ca="1">Resultatmappe!ND20</f>
        <v/>
      </c>
      <c r="AZ37" t="str">
        <f ca="1">Resultatmappe!NN20</f>
        <v/>
      </c>
      <c r="BB37" t="str">
        <f ca="1">Resultatmappe!NX20</f>
        <v/>
      </c>
      <c r="BD37" t="str">
        <f ca="1">Resultatmappe!OH20</f>
        <v/>
      </c>
      <c r="BH37" s="198" t="str">
        <f ca="1">Resultatmappe!TT20</f>
        <v/>
      </c>
      <c r="BJ37" s="197" t="str">
        <f ca="1">Resultatmappe!UO20</f>
        <v/>
      </c>
      <c r="BL37" t="str">
        <f ca="1">Resultatmappe!UX20</f>
        <v/>
      </c>
      <c r="BN37" t="str">
        <f ca="1">Resultatmappe!VT20</f>
        <v/>
      </c>
    </row>
    <row r="38" spans="1:66" x14ac:dyDescent="0.3">
      <c r="A38" s="3">
        <v>0</v>
      </c>
      <c r="B38" s="3">
        <v>0</v>
      </c>
      <c r="H38" t="str">
        <f ca="1">Resultatmappe!O21</f>
        <v/>
      </c>
      <c r="J38" t="str">
        <f ca="1">Resultatmappe!Y21</f>
        <v/>
      </c>
      <c r="L38" t="str">
        <f ca="1">Resultatmappe!AI21</f>
        <v/>
      </c>
      <c r="N38" t="str">
        <f ca="1">Resultatmappe!AS21</f>
        <v/>
      </c>
      <c r="P38" t="str">
        <f ca="1">Resultatmappe!BC21</f>
        <v/>
      </c>
      <c r="R38" t="str">
        <f ca="1">Resultatmappe!BM21</f>
        <v/>
      </c>
      <c r="T38" t="str">
        <f ca="1">Resultatmappe!BW21</f>
        <v/>
      </c>
      <c r="V38" t="str">
        <f ca="1">Resultatmappe!CG21</f>
        <v/>
      </c>
      <c r="X38" t="str">
        <f ca="1">Resultatmappe!CQ21</f>
        <v/>
      </c>
      <c r="AL38" s="198" t="str">
        <f ca="1">Resultatmappe!JH21</f>
        <v/>
      </c>
      <c r="AN38" t="str">
        <f ca="1">Resultatmappe!JR21</f>
        <v/>
      </c>
      <c r="AP38" s="198" t="str">
        <f ca="1">Resultatmappe!KQ21</f>
        <v/>
      </c>
      <c r="AR38" s="198" t="str">
        <f ca="1">Resultatmappe!LA21</f>
        <v/>
      </c>
      <c r="AT38" s="198" t="str">
        <f ca="1">Resultatmappe!LK21</f>
        <v/>
      </c>
      <c r="AV38" t="str">
        <f ca="1">Resultatmappe!MT21</f>
        <v/>
      </c>
      <c r="AX38" t="str">
        <f ca="1">Resultatmappe!ND21</f>
        <v/>
      </c>
      <c r="AZ38" t="str">
        <f ca="1">Resultatmappe!NN21</f>
        <v/>
      </c>
      <c r="BB38" t="str">
        <f ca="1">Resultatmappe!NX21</f>
        <v/>
      </c>
      <c r="BD38" t="str">
        <f ca="1">Resultatmappe!OH21</f>
        <v/>
      </c>
      <c r="BH38" s="198" t="str">
        <f ca="1">Resultatmappe!TT21</f>
        <v/>
      </c>
      <c r="BJ38" s="197" t="str">
        <f ca="1">Resultatmappe!UO21</f>
        <v/>
      </c>
      <c r="BL38" t="str">
        <f ca="1">Resultatmappe!UX21</f>
        <v/>
      </c>
      <c r="BN38" t="str">
        <f ca="1">Resultatmappe!VT21</f>
        <v/>
      </c>
    </row>
    <row r="39" spans="1:66" x14ac:dyDescent="0.3">
      <c r="A39" s="3">
        <v>0</v>
      </c>
      <c r="B39" s="3">
        <v>0</v>
      </c>
      <c r="H39" t="str">
        <f ca="1">Resultatmappe!O22</f>
        <v/>
      </c>
      <c r="J39" t="str">
        <f ca="1">Resultatmappe!Y22</f>
        <v/>
      </c>
      <c r="L39" t="str">
        <f ca="1">Resultatmappe!AI22</f>
        <v/>
      </c>
      <c r="N39" t="str">
        <f ca="1">Resultatmappe!AS22</f>
        <v/>
      </c>
      <c r="P39" t="str">
        <f ca="1">Resultatmappe!BC22</f>
        <v/>
      </c>
      <c r="R39" t="str">
        <f ca="1">Resultatmappe!BM22</f>
        <v/>
      </c>
      <c r="T39" t="str">
        <f ca="1">Resultatmappe!BW22</f>
        <v/>
      </c>
      <c r="V39" t="str">
        <f ca="1">Resultatmappe!CG22</f>
        <v/>
      </c>
      <c r="X39" t="str">
        <f ca="1">Resultatmappe!CQ22</f>
        <v/>
      </c>
      <c r="AL39" s="198" t="str">
        <f ca="1">Resultatmappe!JH22</f>
        <v/>
      </c>
      <c r="AN39" t="str">
        <f ca="1">Resultatmappe!JR22</f>
        <v/>
      </c>
      <c r="AP39" s="198" t="str">
        <f ca="1">Resultatmappe!KQ22</f>
        <v/>
      </c>
      <c r="AR39" s="198" t="str">
        <f ca="1">Resultatmappe!LA22</f>
        <v/>
      </c>
      <c r="AT39" s="198" t="str">
        <f ca="1">Resultatmappe!LK22</f>
        <v/>
      </c>
      <c r="AV39" t="str">
        <f ca="1">Resultatmappe!MT22</f>
        <v/>
      </c>
      <c r="AX39" t="str">
        <f ca="1">Resultatmappe!ND22</f>
        <v/>
      </c>
      <c r="AZ39" t="str">
        <f ca="1">Resultatmappe!NN22</f>
        <v/>
      </c>
      <c r="BB39" t="str">
        <f ca="1">Resultatmappe!NX22</f>
        <v/>
      </c>
      <c r="BD39" t="str">
        <f ca="1">Resultatmappe!OH22</f>
        <v/>
      </c>
      <c r="BH39" s="198" t="str">
        <f ca="1">Resultatmappe!TT22</f>
        <v/>
      </c>
      <c r="BJ39" s="197" t="str">
        <f ca="1">Resultatmappe!UO22</f>
        <v/>
      </c>
      <c r="BL39" t="str">
        <f ca="1">Resultatmappe!UX22</f>
        <v/>
      </c>
      <c r="BN39" t="str">
        <f ca="1">Resultatmappe!VT22</f>
        <v/>
      </c>
    </row>
    <row r="40" spans="1:66" x14ac:dyDescent="0.3">
      <c r="A40" s="3">
        <v>0</v>
      </c>
      <c r="B40" s="3">
        <v>0</v>
      </c>
      <c r="H40" t="str">
        <f ca="1">Resultatmappe!O23</f>
        <v/>
      </c>
      <c r="J40" t="str">
        <f ca="1">Resultatmappe!Y23</f>
        <v/>
      </c>
      <c r="L40" t="str">
        <f ca="1">Resultatmappe!AI23</f>
        <v/>
      </c>
      <c r="N40" t="str">
        <f ca="1">Resultatmappe!AS23</f>
        <v/>
      </c>
      <c r="P40" t="str">
        <f ca="1">Resultatmappe!BC23</f>
        <v/>
      </c>
      <c r="R40" t="str">
        <f ca="1">Resultatmappe!BM23</f>
        <v/>
      </c>
      <c r="T40" t="str">
        <f ca="1">Resultatmappe!BW23</f>
        <v/>
      </c>
      <c r="V40" t="str">
        <f ca="1">Resultatmappe!CG23</f>
        <v/>
      </c>
      <c r="X40" t="str">
        <f ca="1">Resultatmappe!CQ23</f>
        <v/>
      </c>
      <c r="AL40" s="198" t="str">
        <f ca="1">Resultatmappe!JH23</f>
        <v/>
      </c>
      <c r="AN40" t="str">
        <f ca="1">Resultatmappe!JR23</f>
        <v/>
      </c>
      <c r="AP40" s="198" t="str">
        <f ca="1">Resultatmappe!KQ23</f>
        <v/>
      </c>
      <c r="AR40" s="198" t="str">
        <f ca="1">Resultatmappe!LA23</f>
        <v/>
      </c>
      <c r="AT40" s="198" t="str">
        <f ca="1">Resultatmappe!LK23</f>
        <v/>
      </c>
      <c r="AV40" t="str">
        <f ca="1">Resultatmappe!MT23</f>
        <v/>
      </c>
      <c r="AX40" t="str">
        <f ca="1">Resultatmappe!ND23</f>
        <v/>
      </c>
      <c r="AZ40" t="str">
        <f ca="1">Resultatmappe!NN23</f>
        <v/>
      </c>
      <c r="BB40" t="str">
        <f ca="1">Resultatmappe!NX23</f>
        <v/>
      </c>
      <c r="BD40" t="str">
        <f ca="1">Resultatmappe!OH23</f>
        <v/>
      </c>
      <c r="BH40" s="198" t="str">
        <f ca="1">Resultatmappe!TT23</f>
        <v/>
      </c>
      <c r="BJ40" s="197" t="str">
        <f ca="1">Resultatmappe!UO23</f>
        <v/>
      </c>
      <c r="BL40" t="str">
        <f ca="1">Resultatmappe!UX23</f>
        <v/>
      </c>
      <c r="BN40" t="str">
        <f ca="1">Resultatmappe!VT23</f>
        <v/>
      </c>
    </row>
    <row r="41" spans="1:66" x14ac:dyDescent="0.3">
      <c r="A41" s="3">
        <v>0</v>
      </c>
      <c r="B41" s="3">
        <v>0</v>
      </c>
      <c r="H41" t="str">
        <f ca="1">Resultatmappe!O24</f>
        <v/>
      </c>
      <c r="J41" t="str">
        <f ca="1">Resultatmappe!Y24</f>
        <v/>
      </c>
      <c r="L41" t="str">
        <f ca="1">Resultatmappe!AI24</f>
        <v/>
      </c>
      <c r="N41" t="str">
        <f ca="1">Resultatmappe!AS24</f>
        <v/>
      </c>
      <c r="P41" t="str">
        <f ca="1">Resultatmappe!BC24</f>
        <v/>
      </c>
      <c r="R41" t="str">
        <f ca="1">Resultatmappe!BM24</f>
        <v/>
      </c>
      <c r="T41" t="str">
        <f ca="1">Resultatmappe!BW24</f>
        <v/>
      </c>
      <c r="V41" t="str">
        <f ca="1">Resultatmappe!CG24</f>
        <v/>
      </c>
      <c r="X41" t="str">
        <f ca="1">Resultatmappe!CQ24</f>
        <v/>
      </c>
      <c r="AL41" s="198" t="str">
        <f ca="1">Resultatmappe!JH24</f>
        <v/>
      </c>
      <c r="AN41" t="str">
        <f ca="1">Resultatmappe!JR24</f>
        <v/>
      </c>
      <c r="AP41" s="198" t="str">
        <f ca="1">Resultatmappe!KQ24</f>
        <v/>
      </c>
      <c r="AR41" s="198" t="str">
        <f ca="1">Resultatmappe!LA24</f>
        <v/>
      </c>
      <c r="AT41" s="198" t="str">
        <f ca="1">Resultatmappe!LK24</f>
        <v/>
      </c>
      <c r="AV41" t="str">
        <f ca="1">Resultatmappe!MT24</f>
        <v/>
      </c>
      <c r="AX41" t="str">
        <f ca="1">Resultatmappe!ND24</f>
        <v/>
      </c>
      <c r="AZ41" t="str">
        <f ca="1">Resultatmappe!NN24</f>
        <v/>
      </c>
      <c r="BB41" t="str">
        <f ca="1">Resultatmappe!NX24</f>
        <v/>
      </c>
      <c r="BD41" t="str">
        <f ca="1">Resultatmappe!OH24</f>
        <v/>
      </c>
      <c r="BH41" s="198" t="str">
        <f ca="1">Resultatmappe!TT24</f>
        <v/>
      </c>
      <c r="BJ41" s="197" t="str">
        <f ca="1">Resultatmappe!UO24</f>
        <v/>
      </c>
      <c r="BL41" t="str">
        <f ca="1">Resultatmappe!UX24</f>
        <v/>
      </c>
      <c r="BN41" t="str">
        <f ca="1">Resultatmappe!VT24</f>
        <v/>
      </c>
    </row>
    <row r="42" spans="1:66" x14ac:dyDescent="0.3">
      <c r="A42" s="3">
        <v>0</v>
      </c>
      <c r="B42" s="3">
        <v>0</v>
      </c>
      <c r="H42" t="str">
        <f ca="1">Resultatmappe!O25</f>
        <v/>
      </c>
      <c r="J42" t="str">
        <f ca="1">Resultatmappe!Y25</f>
        <v/>
      </c>
      <c r="L42" t="str">
        <f ca="1">Resultatmappe!AI25</f>
        <v/>
      </c>
      <c r="N42" t="str">
        <f ca="1">Resultatmappe!AS25</f>
        <v/>
      </c>
      <c r="P42" t="str">
        <f ca="1">Resultatmappe!BC25</f>
        <v/>
      </c>
      <c r="R42" t="str">
        <f ca="1">Resultatmappe!BM25</f>
        <v/>
      </c>
      <c r="T42" t="str">
        <f ca="1">Resultatmappe!BW25</f>
        <v/>
      </c>
      <c r="V42" t="str">
        <f ca="1">Resultatmappe!CG25</f>
        <v/>
      </c>
      <c r="X42" t="str">
        <f ca="1">Resultatmappe!CQ25</f>
        <v/>
      </c>
      <c r="AL42" s="198" t="str">
        <f ca="1">Resultatmappe!JH25</f>
        <v/>
      </c>
      <c r="AN42" t="str">
        <f ca="1">Resultatmappe!JR25</f>
        <v/>
      </c>
      <c r="AP42" s="198" t="str">
        <f ca="1">Resultatmappe!KQ25</f>
        <v/>
      </c>
      <c r="AR42" s="198" t="str">
        <f ca="1">Resultatmappe!LA25</f>
        <v/>
      </c>
      <c r="AT42" s="198" t="str">
        <f ca="1">Resultatmappe!LK25</f>
        <v/>
      </c>
      <c r="AV42" t="str">
        <f ca="1">Resultatmappe!MT25</f>
        <v/>
      </c>
      <c r="AX42" t="str">
        <f ca="1">Resultatmappe!ND25</f>
        <v/>
      </c>
      <c r="AZ42" t="str">
        <f ca="1">Resultatmappe!NN25</f>
        <v/>
      </c>
      <c r="BB42" t="str">
        <f ca="1">Resultatmappe!NX25</f>
        <v/>
      </c>
      <c r="BD42" t="str">
        <f ca="1">Resultatmappe!OH25</f>
        <v/>
      </c>
      <c r="BH42" s="198" t="str">
        <f ca="1">Resultatmappe!TT25</f>
        <v/>
      </c>
      <c r="BJ42" s="197" t="str">
        <f ca="1">Resultatmappe!UO25</f>
        <v/>
      </c>
      <c r="BL42" t="str">
        <f ca="1">Resultatmappe!UX25</f>
        <v/>
      </c>
      <c r="BN42" t="str">
        <f ca="1">Resultatmappe!VT25</f>
        <v/>
      </c>
    </row>
    <row r="43" spans="1:66" x14ac:dyDescent="0.3">
      <c r="A43" s="3">
        <v>0</v>
      </c>
      <c r="B43" s="3">
        <v>0</v>
      </c>
      <c r="H43" t="str">
        <f ca="1">Resultatmappe!O26</f>
        <v/>
      </c>
      <c r="J43" t="str">
        <f ca="1">Resultatmappe!Y26</f>
        <v/>
      </c>
      <c r="L43" t="str">
        <f ca="1">Resultatmappe!AI26</f>
        <v/>
      </c>
      <c r="N43" t="str">
        <f ca="1">Resultatmappe!AS26</f>
        <v/>
      </c>
      <c r="P43" t="str">
        <f ca="1">Resultatmappe!BC26</f>
        <v/>
      </c>
      <c r="R43" t="str">
        <f ca="1">Resultatmappe!BM26</f>
        <v/>
      </c>
      <c r="T43" t="str">
        <f ca="1">Resultatmappe!BW26</f>
        <v/>
      </c>
      <c r="V43" t="str">
        <f ca="1">Resultatmappe!CG26</f>
        <v/>
      </c>
      <c r="X43" t="str">
        <f ca="1">Resultatmappe!CQ26</f>
        <v/>
      </c>
      <c r="AL43" s="198" t="str">
        <f ca="1">Resultatmappe!JH26</f>
        <v/>
      </c>
      <c r="AN43" t="str">
        <f ca="1">Resultatmappe!JR26</f>
        <v/>
      </c>
      <c r="AP43" s="198" t="str">
        <f ca="1">Resultatmappe!KQ26</f>
        <v/>
      </c>
      <c r="AR43" s="198" t="str">
        <f ca="1">Resultatmappe!LA26</f>
        <v/>
      </c>
      <c r="AT43" s="198" t="str">
        <f ca="1">Resultatmappe!LK26</f>
        <v/>
      </c>
      <c r="AV43" t="str">
        <f ca="1">Resultatmappe!MT26</f>
        <v/>
      </c>
      <c r="AX43" t="str">
        <f ca="1">Resultatmappe!ND26</f>
        <v/>
      </c>
      <c r="AZ43" t="str">
        <f ca="1">Resultatmappe!NN26</f>
        <v/>
      </c>
      <c r="BB43" t="str">
        <f ca="1">Resultatmappe!NX26</f>
        <v/>
      </c>
      <c r="BD43" t="str">
        <f ca="1">Resultatmappe!OH26</f>
        <v/>
      </c>
      <c r="BH43" s="198" t="str">
        <f ca="1">Resultatmappe!TT26</f>
        <v/>
      </c>
      <c r="BJ43" s="197" t="str">
        <f ca="1">Resultatmappe!UO26</f>
        <v/>
      </c>
      <c r="BL43" t="str">
        <f ca="1">Resultatmappe!UX26</f>
        <v/>
      </c>
      <c r="BN43" t="str">
        <f ca="1">Resultatmappe!VT26</f>
        <v/>
      </c>
    </row>
    <row r="44" spans="1:66" x14ac:dyDescent="0.3">
      <c r="A44" s="3">
        <v>0</v>
      </c>
      <c r="B44" s="3">
        <v>0</v>
      </c>
      <c r="H44" t="str">
        <f ca="1">Resultatmappe!O27</f>
        <v/>
      </c>
      <c r="J44" t="str">
        <f ca="1">Resultatmappe!Y27</f>
        <v/>
      </c>
      <c r="L44" t="str">
        <f ca="1">Resultatmappe!AI27</f>
        <v/>
      </c>
      <c r="N44" t="str">
        <f ca="1">Resultatmappe!AS27</f>
        <v/>
      </c>
      <c r="P44" t="str">
        <f ca="1">Resultatmappe!BC27</f>
        <v/>
      </c>
      <c r="R44" t="str">
        <f ca="1">Resultatmappe!BM27</f>
        <v/>
      </c>
      <c r="T44" t="str">
        <f ca="1">Resultatmappe!BW27</f>
        <v/>
      </c>
      <c r="V44" t="str">
        <f ca="1">Resultatmappe!CG27</f>
        <v/>
      </c>
      <c r="X44" t="str">
        <f ca="1">Resultatmappe!CQ27</f>
        <v/>
      </c>
      <c r="AL44" s="198" t="str">
        <f ca="1">Resultatmappe!JH27</f>
        <v/>
      </c>
      <c r="AN44" t="str">
        <f ca="1">Resultatmappe!JR27</f>
        <v/>
      </c>
      <c r="AP44" s="198" t="str">
        <f ca="1">Resultatmappe!KQ27</f>
        <v/>
      </c>
      <c r="AR44" s="198" t="str">
        <f ca="1">Resultatmappe!LA27</f>
        <v/>
      </c>
      <c r="AT44" s="198" t="str">
        <f ca="1">Resultatmappe!LK27</f>
        <v/>
      </c>
      <c r="AV44" t="str">
        <f ca="1">Resultatmappe!MT27</f>
        <v/>
      </c>
      <c r="AX44" t="str">
        <f ca="1">Resultatmappe!ND27</f>
        <v/>
      </c>
      <c r="AZ44" t="str">
        <f ca="1">Resultatmappe!NN27</f>
        <v/>
      </c>
      <c r="BB44" t="str">
        <f ca="1">Resultatmappe!NX27</f>
        <v/>
      </c>
      <c r="BD44" t="str">
        <f ca="1">Resultatmappe!OH27</f>
        <v/>
      </c>
      <c r="BH44" s="198" t="str">
        <f ca="1">Resultatmappe!TT27</f>
        <v/>
      </c>
      <c r="BJ44" s="197" t="str">
        <f ca="1">Resultatmappe!UO27</f>
        <v/>
      </c>
      <c r="BL44" t="str">
        <f ca="1">Resultatmappe!UX27</f>
        <v/>
      </c>
      <c r="BN44" t="str">
        <f ca="1">Resultatmappe!VT27</f>
        <v/>
      </c>
    </row>
    <row r="45" spans="1:66" x14ac:dyDescent="0.3">
      <c r="A45" s="3">
        <v>0</v>
      </c>
      <c r="B45" s="3">
        <v>0</v>
      </c>
      <c r="H45" t="str">
        <f ca="1">Resultatmappe!O28</f>
        <v/>
      </c>
      <c r="J45" t="str">
        <f ca="1">Resultatmappe!Y28</f>
        <v/>
      </c>
      <c r="L45" t="str">
        <f ca="1">Resultatmappe!AI28</f>
        <v/>
      </c>
      <c r="N45" t="str">
        <f ca="1">Resultatmappe!AS28</f>
        <v/>
      </c>
      <c r="P45" t="str">
        <f ca="1">Resultatmappe!BC28</f>
        <v/>
      </c>
      <c r="R45" t="str">
        <f ca="1">Resultatmappe!BM28</f>
        <v/>
      </c>
      <c r="T45" t="str">
        <f ca="1">Resultatmappe!BW28</f>
        <v/>
      </c>
      <c r="V45" t="str">
        <f ca="1">Resultatmappe!CG28</f>
        <v/>
      </c>
      <c r="X45" t="str">
        <f ca="1">Resultatmappe!CQ28</f>
        <v/>
      </c>
      <c r="AL45" s="198" t="str">
        <f ca="1">Resultatmappe!JH28</f>
        <v/>
      </c>
      <c r="AN45" t="str">
        <f ca="1">Resultatmappe!JR28</f>
        <v/>
      </c>
      <c r="AP45" s="198" t="str">
        <f ca="1">Resultatmappe!KQ28</f>
        <v/>
      </c>
      <c r="AR45" s="198" t="str">
        <f ca="1">Resultatmappe!LA28</f>
        <v/>
      </c>
      <c r="AT45" s="198" t="str">
        <f ca="1">Resultatmappe!LK28</f>
        <v/>
      </c>
      <c r="AV45" t="str">
        <f ca="1">Resultatmappe!MT28</f>
        <v/>
      </c>
      <c r="AX45" t="str">
        <f ca="1">Resultatmappe!ND28</f>
        <v/>
      </c>
      <c r="AZ45" t="str">
        <f ca="1">Resultatmappe!NN28</f>
        <v/>
      </c>
      <c r="BB45" t="str">
        <f ca="1">Resultatmappe!NX28</f>
        <v/>
      </c>
      <c r="BD45" t="str">
        <f ca="1">Resultatmappe!OH28</f>
        <v/>
      </c>
      <c r="BH45" s="198" t="str">
        <f ca="1">Resultatmappe!TT28</f>
        <v/>
      </c>
      <c r="BJ45" s="197" t="str">
        <f ca="1">Resultatmappe!UO28</f>
        <v/>
      </c>
      <c r="BL45" t="str">
        <f ca="1">Resultatmappe!UX28</f>
        <v/>
      </c>
      <c r="BN45" t="str">
        <f ca="1">Resultatmappe!VT28</f>
        <v/>
      </c>
    </row>
    <row r="46" spans="1:66" x14ac:dyDescent="0.3">
      <c r="A46" s="3">
        <v>0</v>
      </c>
      <c r="B46" s="3">
        <v>0</v>
      </c>
      <c r="H46" t="str">
        <f ca="1">Resultatmappe!O29</f>
        <v/>
      </c>
      <c r="J46" t="str">
        <f ca="1">Resultatmappe!Y29</f>
        <v/>
      </c>
      <c r="L46" t="str">
        <f ca="1">Resultatmappe!AI29</f>
        <v/>
      </c>
      <c r="N46" t="str">
        <f ca="1">Resultatmappe!AS29</f>
        <v/>
      </c>
      <c r="P46" t="str">
        <f ca="1">Resultatmappe!BC29</f>
        <v/>
      </c>
      <c r="R46" t="str">
        <f ca="1">Resultatmappe!BM29</f>
        <v/>
      </c>
      <c r="T46" t="str">
        <f ca="1">Resultatmappe!BW29</f>
        <v/>
      </c>
      <c r="V46" t="str">
        <f ca="1">Resultatmappe!CG29</f>
        <v/>
      </c>
      <c r="X46" t="str">
        <f ca="1">Resultatmappe!CQ29</f>
        <v/>
      </c>
      <c r="AL46" s="198" t="str">
        <f ca="1">Resultatmappe!JH29</f>
        <v/>
      </c>
      <c r="AN46" t="str">
        <f ca="1">Resultatmappe!JR29</f>
        <v/>
      </c>
      <c r="AP46" s="198" t="str">
        <f ca="1">Resultatmappe!KQ29</f>
        <v/>
      </c>
      <c r="AR46" s="198" t="str">
        <f ca="1">Resultatmappe!LA29</f>
        <v/>
      </c>
      <c r="AT46" s="198" t="str">
        <f ca="1">Resultatmappe!LK29</f>
        <v/>
      </c>
      <c r="AV46" t="str">
        <f ca="1">Resultatmappe!MT29</f>
        <v/>
      </c>
      <c r="AX46" t="str">
        <f ca="1">Resultatmappe!ND29</f>
        <v/>
      </c>
      <c r="AZ46" t="str">
        <f ca="1">Resultatmappe!NN29</f>
        <v/>
      </c>
      <c r="BB46" t="str">
        <f ca="1">Resultatmappe!NX29</f>
        <v/>
      </c>
      <c r="BD46" t="str">
        <f ca="1">Resultatmappe!OH29</f>
        <v/>
      </c>
      <c r="BH46" s="198" t="str">
        <f ca="1">Resultatmappe!TT29</f>
        <v/>
      </c>
      <c r="BJ46" s="197" t="str">
        <f ca="1">Resultatmappe!UO29</f>
        <v/>
      </c>
      <c r="BL46" t="str">
        <f ca="1">Resultatmappe!UX29</f>
        <v/>
      </c>
      <c r="BN46" t="str">
        <f ca="1">Resultatmappe!VT29</f>
        <v/>
      </c>
    </row>
    <row r="47" spans="1:66" x14ac:dyDescent="0.3">
      <c r="A47" s="3">
        <v>0</v>
      </c>
      <c r="B47" s="3">
        <v>0</v>
      </c>
      <c r="H47" t="str">
        <f ca="1">Resultatmappe!O30</f>
        <v/>
      </c>
      <c r="J47" t="str">
        <f ca="1">Resultatmappe!Y30</f>
        <v/>
      </c>
      <c r="L47" t="str">
        <f ca="1">Resultatmappe!AI30</f>
        <v/>
      </c>
      <c r="N47" t="str">
        <f ca="1">Resultatmappe!AS30</f>
        <v/>
      </c>
      <c r="P47" t="str">
        <f ca="1">Resultatmappe!BC30</f>
        <v/>
      </c>
      <c r="R47" t="str">
        <f ca="1">Resultatmappe!BM30</f>
        <v/>
      </c>
      <c r="T47" t="str">
        <f ca="1">Resultatmappe!BW30</f>
        <v/>
      </c>
      <c r="V47" t="str">
        <f ca="1">Resultatmappe!CG30</f>
        <v/>
      </c>
      <c r="X47" t="str">
        <f ca="1">Resultatmappe!CQ30</f>
        <v/>
      </c>
      <c r="AL47" s="198" t="str">
        <f ca="1">Resultatmappe!JH30</f>
        <v/>
      </c>
      <c r="AN47" t="str">
        <f ca="1">Resultatmappe!JR30</f>
        <v/>
      </c>
      <c r="AP47" s="198" t="str">
        <f ca="1">Resultatmappe!KQ30</f>
        <v/>
      </c>
      <c r="AR47" s="198" t="str">
        <f ca="1">Resultatmappe!LA30</f>
        <v/>
      </c>
      <c r="AT47" s="198" t="str">
        <f ca="1">Resultatmappe!LK30</f>
        <v/>
      </c>
      <c r="AV47" t="str">
        <f ca="1">Resultatmappe!MT30</f>
        <v/>
      </c>
      <c r="AX47" t="str">
        <f ca="1">Resultatmappe!ND30</f>
        <v/>
      </c>
      <c r="AZ47" t="str">
        <f ca="1">Resultatmappe!NN30</f>
        <v/>
      </c>
      <c r="BB47" t="str">
        <f ca="1">Resultatmappe!NX30</f>
        <v/>
      </c>
      <c r="BD47" t="str">
        <f ca="1">Resultatmappe!OH30</f>
        <v/>
      </c>
      <c r="BH47" s="198" t="str">
        <f ca="1">Resultatmappe!TT30</f>
        <v/>
      </c>
      <c r="BJ47" s="197" t="str">
        <f ca="1">Resultatmappe!UO30</f>
        <v/>
      </c>
      <c r="BL47" t="str">
        <f ca="1">Resultatmappe!UX30</f>
        <v/>
      </c>
      <c r="BN47" t="str">
        <f ca="1">Resultatmappe!VT30</f>
        <v/>
      </c>
    </row>
    <row r="48" spans="1:66" x14ac:dyDescent="0.3">
      <c r="A48" s="3">
        <v>0</v>
      </c>
      <c r="B48" s="3">
        <v>0</v>
      </c>
      <c r="H48" t="str">
        <f ca="1">Resultatmappe!O31</f>
        <v/>
      </c>
      <c r="J48" t="str">
        <f ca="1">Resultatmappe!Y31</f>
        <v/>
      </c>
      <c r="L48" t="str">
        <f ca="1">Resultatmappe!AI31</f>
        <v/>
      </c>
      <c r="N48" t="str">
        <f ca="1">Resultatmappe!AS31</f>
        <v/>
      </c>
      <c r="P48" t="str">
        <f ca="1">Resultatmappe!BC31</f>
        <v/>
      </c>
      <c r="R48" t="str">
        <f ca="1">Resultatmappe!BM31</f>
        <v/>
      </c>
      <c r="T48" t="str">
        <f ca="1">Resultatmappe!BW31</f>
        <v/>
      </c>
      <c r="V48" t="str">
        <f ca="1">Resultatmappe!CG31</f>
        <v/>
      </c>
      <c r="X48" t="str">
        <f ca="1">Resultatmappe!CQ31</f>
        <v/>
      </c>
      <c r="AL48" s="198" t="str">
        <f ca="1">Resultatmappe!JH31</f>
        <v/>
      </c>
      <c r="AN48" t="str">
        <f ca="1">Resultatmappe!JR31</f>
        <v/>
      </c>
      <c r="AP48" s="198" t="str">
        <f ca="1">Resultatmappe!KQ31</f>
        <v/>
      </c>
      <c r="AR48" s="198" t="str">
        <f ca="1">Resultatmappe!LA31</f>
        <v/>
      </c>
      <c r="AT48" s="198" t="str">
        <f ca="1">Resultatmappe!LK31</f>
        <v/>
      </c>
      <c r="AV48" t="str">
        <f ca="1">Resultatmappe!MT31</f>
        <v/>
      </c>
      <c r="AX48" t="str">
        <f ca="1">Resultatmappe!ND31</f>
        <v/>
      </c>
      <c r="AZ48" t="str">
        <f ca="1">Resultatmappe!NN31</f>
        <v/>
      </c>
      <c r="BB48" t="str">
        <f ca="1">Resultatmappe!NX31</f>
        <v/>
      </c>
      <c r="BD48" t="str">
        <f ca="1">Resultatmappe!OH31</f>
        <v/>
      </c>
      <c r="BH48" s="198" t="str">
        <f ca="1">Resultatmappe!TT31</f>
        <v/>
      </c>
      <c r="BJ48" s="197" t="str">
        <f ca="1">Resultatmappe!UO31</f>
        <v/>
      </c>
      <c r="BL48" t="str">
        <f ca="1">Resultatmappe!UX31</f>
        <v/>
      </c>
      <c r="BN48" t="str">
        <f ca="1">Resultatmappe!VT31</f>
        <v/>
      </c>
    </row>
    <row r="49" spans="1:66" x14ac:dyDescent="0.3">
      <c r="A49" s="3">
        <v>0</v>
      </c>
      <c r="B49" s="3">
        <v>0</v>
      </c>
      <c r="H49" t="str">
        <f ca="1">Resultatmappe!O32</f>
        <v/>
      </c>
      <c r="J49" t="str">
        <f ca="1">Resultatmappe!Y32</f>
        <v/>
      </c>
      <c r="L49" t="str">
        <f ca="1">Resultatmappe!AI32</f>
        <v/>
      </c>
      <c r="N49" t="str">
        <f ca="1">Resultatmappe!AS32</f>
        <v/>
      </c>
      <c r="P49" t="str">
        <f ca="1">Resultatmappe!BC32</f>
        <v/>
      </c>
      <c r="R49" t="str">
        <f ca="1">Resultatmappe!BM32</f>
        <v/>
      </c>
      <c r="T49" t="str">
        <f ca="1">Resultatmappe!BW32</f>
        <v/>
      </c>
      <c r="V49" t="str">
        <f ca="1">Resultatmappe!CG32</f>
        <v/>
      </c>
      <c r="X49" t="str">
        <f ca="1">Resultatmappe!CQ32</f>
        <v/>
      </c>
      <c r="AL49" s="198" t="str">
        <f ca="1">Resultatmappe!JH32</f>
        <v/>
      </c>
      <c r="AN49" t="str">
        <f ca="1">Resultatmappe!JR32</f>
        <v/>
      </c>
      <c r="AP49" s="198" t="str">
        <f ca="1">Resultatmappe!KQ32</f>
        <v/>
      </c>
      <c r="AR49" s="198" t="str">
        <f ca="1">Resultatmappe!LA32</f>
        <v/>
      </c>
      <c r="AT49" s="198" t="str">
        <f ca="1">Resultatmappe!LK32</f>
        <v/>
      </c>
      <c r="AV49" t="str">
        <f ca="1">Resultatmappe!MT32</f>
        <v/>
      </c>
      <c r="AX49" t="str">
        <f ca="1">Resultatmappe!ND32</f>
        <v/>
      </c>
      <c r="AZ49" t="str">
        <f ca="1">Resultatmappe!NN32</f>
        <v/>
      </c>
      <c r="BB49" t="str">
        <f ca="1">Resultatmappe!NX32</f>
        <v/>
      </c>
      <c r="BD49" t="str">
        <f ca="1">Resultatmappe!OH32</f>
        <v/>
      </c>
      <c r="BH49" s="198" t="str">
        <f ca="1">Resultatmappe!TT32</f>
        <v/>
      </c>
      <c r="BJ49" s="197" t="str">
        <f ca="1">Resultatmappe!UO32</f>
        <v/>
      </c>
      <c r="BL49" t="str">
        <f ca="1">Resultatmappe!UX32</f>
        <v/>
      </c>
      <c r="BN49" t="str">
        <f ca="1">Resultatmappe!VT32</f>
        <v/>
      </c>
    </row>
    <row r="50" spans="1:66" x14ac:dyDescent="0.3">
      <c r="A50" s="3">
        <v>0</v>
      </c>
      <c r="B50" s="3">
        <v>0</v>
      </c>
      <c r="H50" t="str">
        <f ca="1">Resultatmappe!O33</f>
        <v/>
      </c>
      <c r="J50" t="str">
        <f ca="1">Resultatmappe!Y33</f>
        <v/>
      </c>
      <c r="L50" t="str">
        <f ca="1">Resultatmappe!AI33</f>
        <v/>
      </c>
      <c r="N50" t="str">
        <f ca="1">Resultatmappe!AS33</f>
        <v/>
      </c>
      <c r="P50" t="str">
        <f ca="1">Resultatmappe!BC33</f>
        <v/>
      </c>
      <c r="R50" t="str">
        <f ca="1">Resultatmappe!BM33</f>
        <v/>
      </c>
      <c r="T50" t="str">
        <f ca="1">Resultatmappe!BW33</f>
        <v/>
      </c>
      <c r="V50" t="str">
        <f ca="1">Resultatmappe!CG33</f>
        <v/>
      </c>
      <c r="X50" t="str">
        <f ca="1">Resultatmappe!CQ33</f>
        <v/>
      </c>
      <c r="AL50" s="198" t="str">
        <f ca="1">Resultatmappe!JH33</f>
        <v/>
      </c>
      <c r="AN50" t="str">
        <f ca="1">Resultatmappe!JR33</f>
        <v/>
      </c>
      <c r="AP50" s="198" t="str">
        <f ca="1">Resultatmappe!KQ33</f>
        <v/>
      </c>
      <c r="AR50" s="198" t="str">
        <f ca="1">Resultatmappe!LA33</f>
        <v/>
      </c>
      <c r="AT50" s="198" t="str">
        <f ca="1">Resultatmappe!LK33</f>
        <v/>
      </c>
      <c r="AV50" t="str">
        <f ca="1">Resultatmappe!MT33</f>
        <v/>
      </c>
      <c r="AX50" t="str">
        <f ca="1">Resultatmappe!ND33</f>
        <v/>
      </c>
      <c r="AZ50" t="str">
        <f ca="1">Resultatmappe!NN33</f>
        <v/>
      </c>
      <c r="BB50" t="str">
        <f ca="1">Resultatmappe!NX33</f>
        <v/>
      </c>
      <c r="BD50" t="str">
        <f ca="1">Resultatmappe!OH33</f>
        <v/>
      </c>
      <c r="BH50" s="198" t="str">
        <f ca="1">Resultatmappe!TT33</f>
        <v/>
      </c>
      <c r="BJ50" s="197" t="str">
        <f ca="1">Resultatmappe!UO33</f>
        <v/>
      </c>
      <c r="BL50" t="str">
        <f ca="1">Resultatmappe!UX33</f>
        <v/>
      </c>
      <c r="BN50" t="str">
        <f ca="1">Resultatmappe!VT33</f>
        <v/>
      </c>
    </row>
    <row r="51" spans="1:66" x14ac:dyDescent="0.3">
      <c r="A51" s="3">
        <v>0</v>
      </c>
      <c r="B51" s="3">
        <v>0</v>
      </c>
      <c r="H51" t="str">
        <f ca="1">Resultatmappe!O34</f>
        <v/>
      </c>
      <c r="J51" t="str">
        <f ca="1">Resultatmappe!Y34</f>
        <v/>
      </c>
      <c r="L51" t="str">
        <f ca="1">Resultatmappe!AI34</f>
        <v/>
      </c>
      <c r="N51" t="str">
        <f ca="1">Resultatmappe!AS34</f>
        <v/>
      </c>
      <c r="P51" t="str">
        <f ca="1">Resultatmappe!BC34</f>
        <v/>
      </c>
      <c r="R51" t="str">
        <f ca="1">Resultatmappe!BM34</f>
        <v/>
      </c>
      <c r="T51" t="str">
        <f ca="1">Resultatmappe!BW34</f>
        <v/>
      </c>
      <c r="V51" t="str">
        <f ca="1">Resultatmappe!CG34</f>
        <v/>
      </c>
      <c r="X51" t="str">
        <f ca="1">Resultatmappe!CQ34</f>
        <v/>
      </c>
      <c r="AL51" s="198" t="str">
        <f ca="1">Resultatmappe!JH34</f>
        <v/>
      </c>
      <c r="AN51" t="str">
        <f ca="1">Resultatmappe!JR34</f>
        <v/>
      </c>
      <c r="AP51" s="198" t="str">
        <f ca="1">Resultatmappe!KQ34</f>
        <v/>
      </c>
      <c r="AR51" s="198" t="str">
        <f ca="1">Resultatmappe!LA34</f>
        <v/>
      </c>
      <c r="AT51" s="198" t="str">
        <f ca="1">Resultatmappe!LK34</f>
        <v/>
      </c>
      <c r="AV51" t="str">
        <f ca="1">Resultatmappe!MT34</f>
        <v/>
      </c>
      <c r="AX51" t="str">
        <f ca="1">Resultatmappe!ND34</f>
        <v/>
      </c>
      <c r="AZ51" t="str">
        <f ca="1">Resultatmappe!NN34</f>
        <v/>
      </c>
      <c r="BB51" t="str">
        <f ca="1">Resultatmappe!NX34</f>
        <v/>
      </c>
      <c r="BD51" t="str">
        <f ca="1">Resultatmappe!OH34</f>
        <v/>
      </c>
      <c r="BH51" s="198" t="str">
        <f ca="1">Resultatmappe!TT34</f>
        <v/>
      </c>
      <c r="BJ51" s="197" t="str">
        <f ca="1">Resultatmappe!UO34</f>
        <v/>
      </c>
      <c r="BL51" t="str">
        <f ca="1">Resultatmappe!UX34</f>
        <v/>
      </c>
      <c r="BN51" t="str">
        <f ca="1">Resultatmappe!VT34</f>
        <v/>
      </c>
    </row>
    <row r="52" spans="1:66" x14ac:dyDescent="0.3">
      <c r="A52" s="3">
        <v>0</v>
      </c>
      <c r="B52" s="3">
        <v>0</v>
      </c>
      <c r="H52" t="str">
        <f ca="1">Resultatmappe!O35</f>
        <v/>
      </c>
      <c r="J52" t="str">
        <f ca="1">Resultatmappe!Y35</f>
        <v/>
      </c>
      <c r="L52" t="str">
        <f ca="1">Resultatmappe!AI35</f>
        <v/>
      </c>
      <c r="N52" t="str">
        <f ca="1">Resultatmappe!AS35</f>
        <v/>
      </c>
      <c r="P52" t="str">
        <f ca="1">Resultatmappe!BC35</f>
        <v/>
      </c>
      <c r="R52" t="str">
        <f ca="1">Resultatmappe!BM35</f>
        <v/>
      </c>
      <c r="T52" t="str">
        <f ca="1">Resultatmappe!BW35</f>
        <v/>
      </c>
      <c r="V52" t="str">
        <f ca="1">Resultatmappe!CG35</f>
        <v/>
      </c>
      <c r="X52" t="str">
        <f ca="1">Resultatmappe!CQ35</f>
        <v/>
      </c>
      <c r="AL52" s="198" t="str">
        <f ca="1">Resultatmappe!JH35</f>
        <v/>
      </c>
      <c r="AN52" t="str">
        <f ca="1">Resultatmappe!JR35</f>
        <v/>
      </c>
      <c r="AP52" s="198" t="str">
        <f ca="1">Resultatmappe!KQ35</f>
        <v/>
      </c>
      <c r="AR52" s="198" t="str">
        <f ca="1">Resultatmappe!LA35</f>
        <v/>
      </c>
      <c r="AT52" s="198" t="str">
        <f ca="1">Resultatmappe!LK35</f>
        <v/>
      </c>
      <c r="AV52" t="str">
        <f ca="1">Resultatmappe!MT35</f>
        <v/>
      </c>
      <c r="AX52" t="str">
        <f ca="1">Resultatmappe!ND35</f>
        <v/>
      </c>
      <c r="AZ52" t="str">
        <f ca="1">Resultatmappe!NN35</f>
        <v/>
      </c>
      <c r="BB52" t="str">
        <f ca="1">Resultatmappe!NX35</f>
        <v/>
      </c>
      <c r="BD52" t="str">
        <f ca="1">Resultatmappe!OH35</f>
        <v/>
      </c>
      <c r="BH52" s="198" t="str">
        <f ca="1">Resultatmappe!TT35</f>
        <v/>
      </c>
      <c r="BJ52" s="197" t="str">
        <f ca="1">Resultatmappe!UO35</f>
        <v/>
      </c>
      <c r="BL52" t="str">
        <f ca="1">Resultatmappe!UX35</f>
        <v/>
      </c>
      <c r="BN52" t="str">
        <f ca="1">Resultatmappe!VT35</f>
        <v/>
      </c>
    </row>
    <row r="53" spans="1:66" x14ac:dyDescent="0.3">
      <c r="A53" s="3">
        <v>0</v>
      </c>
      <c r="B53" s="3">
        <v>0</v>
      </c>
      <c r="H53" t="str">
        <f ca="1">Resultatmappe!O36</f>
        <v/>
      </c>
      <c r="J53" t="str">
        <f ca="1">Resultatmappe!Y36</f>
        <v/>
      </c>
      <c r="L53" t="str">
        <f ca="1">Resultatmappe!AI36</f>
        <v/>
      </c>
      <c r="N53" t="str">
        <f ca="1">Resultatmappe!AS36</f>
        <v/>
      </c>
      <c r="P53" t="str">
        <f ca="1">Resultatmappe!BC36</f>
        <v/>
      </c>
      <c r="R53" t="str">
        <f ca="1">Resultatmappe!BM36</f>
        <v/>
      </c>
      <c r="T53" t="str">
        <f ca="1">Resultatmappe!BW36</f>
        <v/>
      </c>
      <c r="V53" t="str">
        <f ca="1">Resultatmappe!CG36</f>
        <v/>
      </c>
      <c r="X53" t="str">
        <f ca="1">Resultatmappe!CQ36</f>
        <v/>
      </c>
      <c r="AL53" s="198" t="str">
        <f ca="1">Resultatmappe!JH36</f>
        <v/>
      </c>
      <c r="AN53" t="str">
        <f ca="1">Resultatmappe!JR36</f>
        <v/>
      </c>
      <c r="AP53" s="198" t="str">
        <f ca="1">Resultatmappe!KQ36</f>
        <v/>
      </c>
      <c r="AR53" s="198" t="str">
        <f ca="1">Resultatmappe!LA36</f>
        <v/>
      </c>
      <c r="AT53" s="198" t="str">
        <f ca="1">Resultatmappe!LK36</f>
        <v/>
      </c>
      <c r="AV53" t="str">
        <f ca="1">Resultatmappe!MT36</f>
        <v/>
      </c>
      <c r="AX53" t="str">
        <f ca="1">Resultatmappe!ND36</f>
        <v/>
      </c>
      <c r="AZ53" t="str">
        <f ca="1">Resultatmappe!NN36</f>
        <v/>
      </c>
      <c r="BB53" t="str">
        <f ca="1">Resultatmappe!NX36</f>
        <v/>
      </c>
      <c r="BD53" t="str">
        <f ca="1">Resultatmappe!OH36</f>
        <v/>
      </c>
      <c r="BH53" s="198" t="str">
        <f ca="1">Resultatmappe!TT36</f>
        <v/>
      </c>
      <c r="BJ53" s="197" t="str">
        <f ca="1">Resultatmappe!UO36</f>
        <v/>
      </c>
      <c r="BL53" t="str">
        <f ca="1">Resultatmappe!UX36</f>
        <v/>
      </c>
      <c r="BN53" t="str">
        <f ca="1">Resultatmappe!VT36</f>
        <v/>
      </c>
    </row>
    <row r="54" spans="1:66" x14ac:dyDescent="0.3">
      <c r="A54" s="3">
        <v>0</v>
      </c>
      <c r="B54" s="3">
        <v>0</v>
      </c>
      <c r="H54" t="str">
        <f ca="1">Resultatmappe!O37</f>
        <v/>
      </c>
      <c r="J54" t="str">
        <f ca="1">Resultatmappe!Y37</f>
        <v/>
      </c>
      <c r="L54" t="str">
        <f ca="1">Resultatmappe!AI37</f>
        <v/>
      </c>
      <c r="N54" t="str">
        <f ca="1">Resultatmappe!AS37</f>
        <v/>
      </c>
      <c r="P54" t="str">
        <f ca="1">Resultatmappe!BC37</f>
        <v/>
      </c>
      <c r="R54" t="str">
        <f ca="1">Resultatmappe!BM37</f>
        <v/>
      </c>
      <c r="T54" t="str">
        <f ca="1">Resultatmappe!BW37</f>
        <v/>
      </c>
      <c r="V54" t="str">
        <f ca="1">Resultatmappe!CG37</f>
        <v/>
      </c>
      <c r="X54" t="str">
        <f ca="1">Resultatmappe!CQ37</f>
        <v/>
      </c>
      <c r="AL54" s="198" t="str">
        <f ca="1">Resultatmappe!JH37</f>
        <v/>
      </c>
      <c r="AN54" t="str">
        <f ca="1">Resultatmappe!JR37</f>
        <v/>
      </c>
      <c r="AP54" s="198" t="str">
        <f ca="1">Resultatmappe!KQ37</f>
        <v/>
      </c>
      <c r="AR54" s="198" t="str">
        <f ca="1">Resultatmappe!LA37</f>
        <v/>
      </c>
      <c r="AT54" s="198" t="str">
        <f ca="1">Resultatmappe!LK37</f>
        <v/>
      </c>
      <c r="AV54" t="str">
        <f ca="1">Resultatmappe!MT37</f>
        <v/>
      </c>
      <c r="AX54" t="str">
        <f ca="1">Resultatmappe!ND37</f>
        <v/>
      </c>
      <c r="AZ54" t="str">
        <f ca="1">Resultatmappe!NN37</f>
        <v/>
      </c>
      <c r="BB54" t="str">
        <f ca="1">Resultatmappe!NX37</f>
        <v/>
      </c>
      <c r="BD54" t="str">
        <f ca="1">Resultatmappe!OH37</f>
        <v/>
      </c>
      <c r="BH54" s="198" t="str">
        <f ca="1">Resultatmappe!TT37</f>
        <v/>
      </c>
      <c r="BJ54" s="197" t="str">
        <f ca="1">Resultatmappe!UO37</f>
        <v/>
      </c>
      <c r="BL54" t="str">
        <f ca="1">Resultatmappe!UX37</f>
        <v/>
      </c>
      <c r="BN54" t="str">
        <f ca="1">Resultatmappe!VT37</f>
        <v/>
      </c>
    </row>
    <row r="55" spans="1:66" x14ac:dyDescent="0.3">
      <c r="A55" s="3">
        <v>0</v>
      </c>
      <c r="B55" s="3">
        <v>0</v>
      </c>
      <c r="H55" t="str">
        <f ca="1">Resultatmappe!O38</f>
        <v/>
      </c>
      <c r="J55" t="str">
        <f ca="1">Resultatmappe!Y38</f>
        <v/>
      </c>
      <c r="L55" t="str">
        <f ca="1">Resultatmappe!AI38</f>
        <v/>
      </c>
      <c r="N55" t="str">
        <f ca="1">Resultatmappe!AS38</f>
        <v/>
      </c>
      <c r="P55" t="str">
        <f ca="1">Resultatmappe!BC38</f>
        <v/>
      </c>
      <c r="R55" t="str">
        <f ca="1">Resultatmappe!BM38</f>
        <v/>
      </c>
      <c r="T55" t="str">
        <f ca="1">Resultatmappe!BW38</f>
        <v/>
      </c>
      <c r="V55" t="str">
        <f ca="1">Resultatmappe!CG38</f>
        <v/>
      </c>
      <c r="X55" t="str">
        <f ca="1">Resultatmappe!CQ38</f>
        <v/>
      </c>
      <c r="AL55" s="198" t="str">
        <f ca="1">Resultatmappe!JH38</f>
        <v/>
      </c>
      <c r="AN55" t="str">
        <f ca="1">Resultatmappe!JR38</f>
        <v/>
      </c>
      <c r="AP55" s="198" t="str">
        <f ca="1">Resultatmappe!KQ38</f>
        <v/>
      </c>
      <c r="AR55" s="198" t="str">
        <f ca="1">Resultatmappe!LA38</f>
        <v/>
      </c>
      <c r="AT55" s="198" t="str">
        <f ca="1">Resultatmappe!LK38</f>
        <v/>
      </c>
      <c r="AV55" t="str">
        <f ca="1">Resultatmappe!MT38</f>
        <v/>
      </c>
      <c r="AX55" t="str">
        <f ca="1">Resultatmappe!ND38</f>
        <v/>
      </c>
      <c r="AZ55" t="str">
        <f ca="1">Resultatmappe!NN38</f>
        <v/>
      </c>
      <c r="BB55" t="str">
        <f ca="1">Resultatmappe!NX38</f>
        <v/>
      </c>
      <c r="BD55" t="str">
        <f ca="1">Resultatmappe!OH38</f>
        <v/>
      </c>
      <c r="BH55" s="198" t="str">
        <f ca="1">Resultatmappe!TT38</f>
        <v/>
      </c>
      <c r="BJ55" s="197" t="str">
        <f ca="1">Resultatmappe!UO38</f>
        <v/>
      </c>
      <c r="BL55" t="str">
        <f ca="1">Resultatmappe!UX38</f>
        <v/>
      </c>
      <c r="BN55" t="str">
        <f ca="1">Resultatmappe!VT38</f>
        <v/>
      </c>
    </row>
    <row r="56" spans="1:66" x14ac:dyDescent="0.3">
      <c r="A56" s="3">
        <v>0</v>
      </c>
      <c r="B56" s="3">
        <v>0</v>
      </c>
      <c r="H56" t="str">
        <f ca="1">Resultatmappe!O39</f>
        <v/>
      </c>
      <c r="J56" t="str">
        <f ca="1">Resultatmappe!Y39</f>
        <v/>
      </c>
      <c r="L56" t="str">
        <f ca="1">Resultatmappe!AI39</f>
        <v/>
      </c>
      <c r="N56" t="str">
        <f ca="1">Resultatmappe!AS39</f>
        <v/>
      </c>
      <c r="P56" t="str">
        <f ca="1">Resultatmappe!BC39</f>
        <v/>
      </c>
      <c r="R56" t="str">
        <f ca="1">Resultatmappe!BM39</f>
        <v/>
      </c>
      <c r="T56" t="str">
        <f ca="1">Resultatmappe!BW39</f>
        <v/>
      </c>
      <c r="V56" t="str">
        <f ca="1">Resultatmappe!CG39</f>
        <v/>
      </c>
      <c r="X56" t="str">
        <f ca="1">Resultatmappe!CQ39</f>
        <v/>
      </c>
      <c r="AL56" s="198" t="str">
        <f ca="1">Resultatmappe!JH39</f>
        <v/>
      </c>
      <c r="AN56" t="str">
        <f ca="1">Resultatmappe!JR39</f>
        <v/>
      </c>
      <c r="AP56" s="198" t="str">
        <f ca="1">Resultatmappe!KQ39</f>
        <v/>
      </c>
      <c r="AR56" s="198" t="str">
        <f ca="1">Resultatmappe!LA39</f>
        <v/>
      </c>
      <c r="AT56" s="198" t="str">
        <f ca="1">Resultatmappe!LK39</f>
        <v/>
      </c>
      <c r="AV56" t="str">
        <f ca="1">Resultatmappe!MT39</f>
        <v/>
      </c>
      <c r="AX56" t="str">
        <f ca="1">Resultatmappe!ND39</f>
        <v/>
      </c>
      <c r="AZ56" t="str">
        <f ca="1">Resultatmappe!NN39</f>
        <v/>
      </c>
      <c r="BB56" t="str">
        <f ca="1">Resultatmappe!NX39</f>
        <v/>
      </c>
      <c r="BD56" t="str">
        <f ca="1">Resultatmappe!OH39</f>
        <v/>
      </c>
      <c r="BH56" s="198" t="str">
        <f ca="1">Resultatmappe!TT39</f>
        <v/>
      </c>
      <c r="BJ56" s="197" t="str">
        <f ca="1">Resultatmappe!UO39</f>
        <v/>
      </c>
      <c r="BL56" t="str">
        <f ca="1">Resultatmappe!UX39</f>
        <v/>
      </c>
      <c r="BN56" t="str">
        <f ca="1">Resultatmappe!VT39</f>
        <v/>
      </c>
    </row>
    <row r="57" spans="1:66" x14ac:dyDescent="0.3">
      <c r="A57" s="3">
        <v>0</v>
      </c>
      <c r="B57" s="3">
        <v>0</v>
      </c>
      <c r="H57" t="str">
        <f ca="1">Resultatmappe!O40</f>
        <v/>
      </c>
      <c r="J57" t="str">
        <f ca="1">Resultatmappe!Y40</f>
        <v/>
      </c>
      <c r="L57" t="str">
        <f ca="1">Resultatmappe!AI40</f>
        <v/>
      </c>
      <c r="N57" t="str">
        <f ca="1">Resultatmappe!AS40</f>
        <v/>
      </c>
      <c r="P57" t="str">
        <f ca="1">Resultatmappe!BC40</f>
        <v/>
      </c>
      <c r="R57" t="str">
        <f ca="1">Resultatmappe!BM40</f>
        <v/>
      </c>
      <c r="T57" t="str">
        <f ca="1">Resultatmappe!BW40</f>
        <v/>
      </c>
      <c r="V57" t="str">
        <f ca="1">Resultatmappe!CG40</f>
        <v/>
      </c>
      <c r="X57" t="str">
        <f ca="1">Resultatmappe!CQ40</f>
        <v/>
      </c>
      <c r="AL57" s="198" t="str">
        <f ca="1">Resultatmappe!JH40</f>
        <v/>
      </c>
      <c r="AN57" t="str">
        <f ca="1">Resultatmappe!JR40</f>
        <v/>
      </c>
      <c r="AP57" s="198" t="str">
        <f ca="1">Resultatmappe!KQ40</f>
        <v/>
      </c>
      <c r="AR57" s="198" t="str">
        <f ca="1">Resultatmappe!LA40</f>
        <v/>
      </c>
      <c r="AT57" s="198" t="str">
        <f ca="1">Resultatmappe!LK40</f>
        <v/>
      </c>
      <c r="AV57" t="str">
        <f ca="1">Resultatmappe!MT40</f>
        <v/>
      </c>
      <c r="AX57" t="str">
        <f ca="1">Resultatmappe!ND40</f>
        <v/>
      </c>
      <c r="AZ57" t="str">
        <f ca="1">Resultatmappe!NN40</f>
        <v/>
      </c>
      <c r="BB57" t="str">
        <f ca="1">Resultatmappe!NX40</f>
        <v/>
      </c>
      <c r="BD57" t="str">
        <f ca="1">Resultatmappe!OH40</f>
        <v/>
      </c>
      <c r="BH57" s="198" t="str">
        <f ca="1">Resultatmappe!TT40</f>
        <v/>
      </c>
      <c r="BJ57" s="197" t="str">
        <f ca="1">Resultatmappe!UO40</f>
        <v/>
      </c>
      <c r="BL57" t="str">
        <f ca="1">Resultatmappe!UX40</f>
        <v/>
      </c>
      <c r="BN57" t="str">
        <f ca="1">Resultatmappe!VT40</f>
        <v/>
      </c>
    </row>
    <row r="58" spans="1:66" x14ac:dyDescent="0.3">
      <c r="A58" s="3">
        <v>0</v>
      </c>
      <c r="B58" s="3">
        <v>0</v>
      </c>
      <c r="H58" t="str">
        <f ca="1">Resultatmappe!O41</f>
        <v/>
      </c>
      <c r="J58" t="str">
        <f ca="1">Resultatmappe!Y41</f>
        <v/>
      </c>
      <c r="L58" t="str">
        <f ca="1">Resultatmappe!AI41</f>
        <v/>
      </c>
      <c r="N58" t="str">
        <f ca="1">Resultatmappe!AS41</f>
        <v/>
      </c>
      <c r="P58" t="str">
        <f ca="1">Resultatmappe!BC41</f>
        <v/>
      </c>
      <c r="R58" t="str">
        <f ca="1">Resultatmappe!BM41</f>
        <v/>
      </c>
      <c r="T58" t="str">
        <f ca="1">Resultatmappe!BW41</f>
        <v/>
      </c>
      <c r="V58" t="str">
        <f ca="1">Resultatmappe!CG41</f>
        <v/>
      </c>
      <c r="X58" t="str">
        <f ca="1">Resultatmappe!CQ41</f>
        <v/>
      </c>
      <c r="AL58" s="198" t="str">
        <f ca="1">Resultatmappe!JH41</f>
        <v/>
      </c>
      <c r="AN58" t="str">
        <f ca="1">Resultatmappe!JR41</f>
        <v/>
      </c>
      <c r="AP58" s="198" t="str">
        <f ca="1">Resultatmappe!KQ41</f>
        <v/>
      </c>
      <c r="AR58" s="198" t="str">
        <f ca="1">Resultatmappe!LA41</f>
        <v/>
      </c>
      <c r="AT58" s="198" t="str">
        <f ca="1">Resultatmappe!LK41</f>
        <v/>
      </c>
      <c r="AV58" t="str">
        <f ca="1">Resultatmappe!MT41</f>
        <v/>
      </c>
      <c r="AX58" t="str">
        <f ca="1">Resultatmappe!ND41</f>
        <v/>
      </c>
      <c r="AZ58" t="str">
        <f ca="1">Resultatmappe!NN41</f>
        <v/>
      </c>
      <c r="BB58" t="str">
        <f ca="1">Resultatmappe!NX41</f>
        <v/>
      </c>
      <c r="BD58" t="str">
        <f ca="1">Resultatmappe!OH41</f>
        <v/>
      </c>
      <c r="BH58" s="198" t="str">
        <f ca="1">Resultatmappe!TT41</f>
        <v/>
      </c>
      <c r="BJ58" s="197" t="str">
        <f ca="1">Resultatmappe!UO41</f>
        <v/>
      </c>
      <c r="BL58" t="str">
        <f ca="1">Resultatmappe!UX41</f>
        <v/>
      </c>
      <c r="BN58" t="str">
        <f ca="1">Resultatmappe!VT41</f>
        <v/>
      </c>
    </row>
    <row r="59" spans="1:66" x14ac:dyDescent="0.3">
      <c r="A59" s="3">
        <v>0</v>
      </c>
      <c r="B59" s="3">
        <v>0</v>
      </c>
      <c r="H59" t="str">
        <f ca="1">Resultatmappe!O42</f>
        <v/>
      </c>
      <c r="J59" t="str">
        <f ca="1">Resultatmappe!Y42</f>
        <v/>
      </c>
      <c r="L59" t="str">
        <f ca="1">Resultatmappe!AI42</f>
        <v/>
      </c>
      <c r="N59" t="str">
        <f ca="1">Resultatmappe!AS42</f>
        <v/>
      </c>
      <c r="P59" t="str">
        <f ca="1">Resultatmappe!BC42</f>
        <v/>
      </c>
      <c r="R59" t="str">
        <f ca="1">Resultatmappe!BM42</f>
        <v/>
      </c>
      <c r="T59" t="str">
        <f ca="1">Resultatmappe!BW42</f>
        <v/>
      </c>
      <c r="V59" t="str">
        <f ca="1">Resultatmappe!CG42</f>
        <v/>
      </c>
      <c r="X59" t="str">
        <f ca="1">Resultatmappe!CQ42</f>
        <v/>
      </c>
      <c r="AL59" s="198" t="str">
        <f ca="1">Resultatmappe!JH42</f>
        <v/>
      </c>
      <c r="AN59" t="str">
        <f ca="1">Resultatmappe!JR42</f>
        <v/>
      </c>
      <c r="AP59" s="198" t="str">
        <f ca="1">Resultatmappe!KQ42</f>
        <v/>
      </c>
      <c r="AR59" s="198" t="str">
        <f ca="1">Resultatmappe!LA42</f>
        <v/>
      </c>
      <c r="AT59" s="198" t="str">
        <f ca="1">Resultatmappe!LK42</f>
        <v/>
      </c>
      <c r="AV59" t="str">
        <f ca="1">Resultatmappe!MT42</f>
        <v/>
      </c>
      <c r="AX59" t="str">
        <f ca="1">Resultatmappe!ND42</f>
        <v/>
      </c>
      <c r="AZ59" t="str">
        <f ca="1">Resultatmappe!NN42</f>
        <v/>
      </c>
      <c r="BB59" t="str">
        <f ca="1">Resultatmappe!NX42</f>
        <v/>
      </c>
      <c r="BD59" t="str">
        <f ca="1">Resultatmappe!OH42</f>
        <v/>
      </c>
      <c r="BH59" s="198" t="str">
        <f ca="1">Resultatmappe!TT42</f>
        <v/>
      </c>
      <c r="BJ59" s="197" t="str">
        <f ca="1">Resultatmappe!UO42</f>
        <v/>
      </c>
      <c r="BL59" t="str">
        <f ca="1">Resultatmappe!UX42</f>
        <v/>
      </c>
      <c r="BN59" t="str">
        <f ca="1">Resultatmappe!VT42</f>
        <v/>
      </c>
    </row>
    <row r="60" spans="1:66" x14ac:dyDescent="0.3">
      <c r="A60" s="3">
        <v>0</v>
      </c>
      <c r="B60" s="3">
        <v>0</v>
      </c>
      <c r="H60" t="str">
        <f ca="1">Resultatmappe!O43</f>
        <v/>
      </c>
      <c r="J60" t="str">
        <f ca="1">Resultatmappe!Y43</f>
        <v/>
      </c>
      <c r="L60" t="str">
        <f ca="1">Resultatmappe!AI43</f>
        <v/>
      </c>
      <c r="N60" t="str">
        <f ca="1">Resultatmappe!AS43</f>
        <v/>
      </c>
      <c r="P60" t="str">
        <f ca="1">Resultatmappe!BC43</f>
        <v/>
      </c>
      <c r="R60" t="str">
        <f ca="1">Resultatmappe!BM43</f>
        <v/>
      </c>
      <c r="T60" t="str">
        <f ca="1">Resultatmappe!BW43</f>
        <v/>
      </c>
      <c r="V60" t="str">
        <f ca="1">Resultatmappe!CG43</f>
        <v/>
      </c>
      <c r="X60" t="str">
        <f ca="1">Resultatmappe!CQ43</f>
        <v/>
      </c>
      <c r="AL60" s="198" t="str">
        <f ca="1">Resultatmappe!JH43</f>
        <v/>
      </c>
      <c r="AN60" t="str">
        <f ca="1">Resultatmappe!JR43</f>
        <v/>
      </c>
      <c r="AP60" s="198" t="str">
        <f ca="1">Resultatmappe!KQ43</f>
        <v/>
      </c>
      <c r="AR60" s="198" t="str">
        <f ca="1">Resultatmappe!LA43</f>
        <v/>
      </c>
      <c r="AT60" s="198" t="str">
        <f ca="1">Resultatmappe!LK43</f>
        <v/>
      </c>
      <c r="AV60" t="str">
        <f ca="1">Resultatmappe!MT43</f>
        <v/>
      </c>
      <c r="AX60" t="str">
        <f ca="1">Resultatmappe!ND43</f>
        <v/>
      </c>
      <c r="AZ60" t="str">
        <f ca="1">Resultatmappe!NN43</f>
        <v/>
      </c>
      <c r="BB60" t="str">
        <f ca="1">Resultatmappe!NX43</f>
        <v/>
      </c>
      <c r="BD60" t="str">
        <f ca="1">Resultatmappe!OH43</f>
        <v/>
      </c>
      <c r="BH60" s="198" t="str">
        <f ca="1">Resultatmappe!TT43</f>
        <v/>
      </c>
      <c r="BJ60" s="197" t="str">
        <f ca="1">Resultatmappe!UO43</f>
        <v/>
      </c>
      <c r="BL60" t="str">
        <f ca="1">Resultatmappe!UX43</f>
        <v/>
      </c>
      <c r="BN60" t="str">
        <f ca="1">Resultatmappe!VT43</f>
        <v/>
      </c>
    </row>
    <row r="61" spans="1:66" x14ac:dyDescent="0.3">
      <c r="A61" s="3">
        <v>0</v>
      </c>
      <c r="B61" s="3">
        <v>0</v>
      </c>
      <c r="H61" t="str">
        <f ca="1">Resultatmappe!O44</f>
        <v/>
      </c>
      <c r="J61" t="str">
        <f ca="1">Resultatmappe!Y44</f>
        <v/>
      </c>
      <c r="L61" t="str">
        <f ca="1">Resultatmappe!AI44</f>
        <v/>
      </c>
      <c r="N61" t="str">
        <f ca="1">Resultatmappe!AS44</f>
        <v/>
      </c>
      <c r="P61" t="str">
        <f ca="1">Resultatmappe!BC44</f>
        <v/>
      </c>
      <c r="R61" t="str">
        <f ca="1">Resultatmappe!BM44</f>
        <v/>
      </c>
      <c r="T61" t="str">
        <f ca="1">Resultatmappe!BW44</f>
        <v/>
      </c>
      <c r="V61" t="str">
        <f ca="1">Resultatmappe!CG44</f>
        <v/>
      </c>
      <c r="X61" t="str">
        <f ca="1">Resultatmappe!CQ44</f>
        <v/>
      </c>
      <c r="AL61" s="198" t="str">
        <f ca="1">Resultatmappe!JH44</f>
        <v/>
      </c>
      <c r="AN61" t="str">
        <f ca="1">Resultatmappe!JR44</f>
        <v/>
      </c>
      <c r="AP61" s="198" t="str">
        <f ca="1">Resultatmappe!KQ44</f>
        <v/>
      </c>
      <c r="AR61" s="198" t="str">
        <f ca="1">Resultatmappe!LA44</f>
        <v/>
      </c>
      <c r="AT61" s="198" t="str">
        <f ca="1">Resultatmappe!LK44</f>
        <v/>
      </c>
      <c r="AV61" t="str">
        <f ca="1">Resultatmappe!MT44</f>
        <v/>
      </c>
      <c r="AX61" t="str">
        <f ca="1">Resultatmappe!ND44</f>
        <v/>
      </c>
      <c r="AZ61" t="str">
        <f ca="1">Resultatmappe!NN44</f>
        <v/>
      </c>
      <c r="BB61" t="str">
        <f ca="1">Resultatmappe!NX44</f>
        <v/>
      </c>
      <c r="BD61" t="str">
        <f ca="1">Resultatmappe!OH44</f>
        <v/>
      </c>
      <c r="BH61" s="198" t="str">
        <f ca="1">Resultatmappe!TT44</f>
        <v/>
      </c>
      <c r="BJ61" s="197" t="str">
        <f ca="1">Resultatmappe!UO44</f>
        <v/>
      </c>
      <c r="BL61" t="str">
        <f ca="1">Resultatmappe!UX44</f>
        <v/>
      </c>
      <c r="BN61" t="str">
        <f ca="1">Resultatmappe!VT44</f>
        <v/>
      </c>
    </row>
    <row r="62" spans="1:66" x14ac:dyDescent="0.3">
      <c r="A62" s="3">
        <v>0</v>
      </c>
      <c r="B62" s="3">
        <v>0</v>
      </c>
      <c r="H62" t="str">
        <f ca="1">Resultatmappe!O45</f>
        <v/>
      </c>
      <c r="J62" t="str">
        <f ca="1">Resultatmappe!Y45</f>
        <v/>
      </c>
      <c r="L62" t="str">
        <f ca="1">Resultatmappe!AI45</f>
        <v/>
      </c>
      <c r="N62" t="str">
        <f ca="1">Resultatmappe!AS45</f>
        <v/>
      </c>
      <c r="P62" t="str">
        <f ca="1">Resultatmappe!BC45</f>
        <v/>
      </c>
      <c r="R62" t="str">
        <f ca="1">Resultatmappe!BM45</f>
        <v/>
      </c>
      <c r="T62" t="str">
        <f ca="1">Resultatmappe!BW45</f>
        <v/>
      </c>
      <c r="V62" t="str">
        <f ca="1">Resultatmappe!CG45</f>
        <v/>
      </c>
      <c r="X62" t="str">
        <f ca="1">Resultatmappe!CQ45</f>
        <v/>
      </c>
      <c r="AL62" s="198" t="str">
        <f ca="1">Resultatmappe!JH45</f>
        <v/>
      </c>
      <c r="AN62" t="str">
        <f ca="1">Resultatmappe!JR45</f>
        <v/>
      </c>
      <c r="AP62" s="198" t="str">
        <f ca="1">Resultatmappe!KQ45</f>
        <v/>
      </c>
      <c r="AR62" s="198" t="str">
        <f ca="1">Resultatmappe!LA45</f>
        <v/>
      </c>
      <c r="AT62" s="198" t="str">
        <f ca="1">Resultatmappe!LK45</f>
        <v/>
      </c>
      <c r="AV62" t="str">
        <f ca="1">Resultatmappe!MT45</f>
        <v/>
      </c>
      <c r="AX62" t="str">
        <f ca="1">Resultatmappe!ND45</f>
        <v/>
      </c>
      <c r="AZ62" t="str">
        <f ca="1">Resultatmappe!NN45</f>
        <v/>
      </c>
      <c r="BB62" t="str">
        <f ca="1">Resultatmappe!NX45</f>
        <v/>
      </c>
      <c r="BD62" t="str">
        <f ca="1">Resultatmappe!OH45</f>
        <v/>
      </c>
      <c r="BH62" s="198" t="str">
        <f ca="1">Resultatmappe!TT45</f>
        <v/>
      </c>
      <c r="BJ62" s="197" t="str">
        <f ca="1">Resultatmappe!UO45</f>
        <v/>
      </c>
      <c r="BL62" t="str">
        <f ca="1">Resultatmappe!UX45</f>
        <v/>
      </c>
      <c r="BN62" t="str">
        <f ca="1">Resultatmappe!VT45</f>
        <v/>
      </c>
    </row>
    <row r="63" spans="1:66" x14ac:dyDescent="0.3">
      <c r="A63" s="3">
        <v>0</v>
      </c>
      <c r="B63" s="3">
        <v>0</v>
      </c>
      <c r="H63" t="str">
        <f ca="1">Resultatmappe!O46</f>
        <v/>
      </c>
      <c r="J63" t="str">
        <f ca="1">Resultatmappe!Y46</f>
        <v/>
      </c>
      <c r="L63" t="str">
        <f ca="1">Resultatmappe!AI46</f>
        <v/>
      </c>
      <c r="N63" t="str">
        <f ca="1">Resultatmappe!AS46</f>
        <v/>
      </c>
      <c r="P63" t="str">
        <f ca="1">Resultatmappe!BC46</f>
        <v/>
      </c>
      <c r="R63" t="str">
        <f ca="1">Resultatmappe!BM46</f>
        <v/>
      </c>
      <c r="T63" t="str">
        <f ca="1">Resultatmappe!BW46</f>
        <v/>
      </c>
      <c r="V63" t="str">
        <f ca="1">Resultatmappe!CG46</f>
        <v/>
      </c>
      <c r="X63" t="str">
        <f ca="1">Resultatmappe!CQ46</f>
        <v/>
      </c>
      <c r="AL63" s="198" t="str">
        <f ca="1">Resultatmappe!JH46</f>
        <v/>
      </c>
      <c r="AN63" t="str">
        <f ca="1">Resultatmappe!JR46</f>
        <v/>
      </c>
      <c r="AP63" s="198" t="str">
        <f ca="1">Resultatmappe!KQ46</f>
        <v/>
      </c>
      <c r="AR63" s="198" t="str">
        <f ca="1">Resultatmappe!LA46</f>
        <v/>
      </c>
      <c r="AT63" s="198" t="str">
        <f ca="1">Resultatmappe!LK46</f>
        <v/>
      </c>
      <c r="AV63" t="str">
        <f ca="1">Resultatmappe!MT46</f>
        <v/>
      </c>
      <c r="AX63" t="str">
        <f ca="1">Resultatmappe!ND46</f>
        <v/>
      </c>
      <c r="AZ63" t="str">
        <f ca="1">Resultatmappe!NN46</f>
        <v/>
      </c>
      <c r="BB63" t="str">
        <f ca="1">Resultatmappe!NX46</f>
        <v/>
      </c>
      <c r="BD63" t="str">
        <f ca="1">Resultatmappe!OH46</f>
        <v/>
      </c>
      <c r="BH63" s="198" t="str">
        <f ca="1">Resultatmappe!TT46</f>
        <v/>
      </c>
      <c r="BJ63" s="197" t="str">
        <f ca="1">Resultatmappe!UO46</f>
        <v/>
      </c>
      <c r="BL63" t="str">
        <f ca="1">Resultatmappe!UX46</f>
        <v/>
      </c>
      <c r="BN63" t="str">
        <f ca="1">Resultatmappe!VT46</f>
        <v/>
      </c>
    </row>
    <row r="64" spans="1:66" x14ac:dyDescent="0.3">
      <c r="A64" s="3">
        <v>0</v>
      </c>
      <c r="B64" s="3">
        <v>0</v>
      </c>
      <c r="H64" t="str">
        <f ca="1">Resultatmappe!O47</f>
        <v/>
      </c>
      <c r="J64" t="str">
        <f ca="1">Resultatmappe!Y47</f>
        <v/>
      </c>
      <c r="L64" t="str">
        <f ca="1">Resultatmappe!AI47</f>
        <v/>
      </c>
      <c r="N64" t="str">
        <f ca="1">Resultatmappe!AS47</f>
        <v/>
      </c>
      <c r="P64" t="str">
        <f ca="1">Resultatmappe!BC47</f>
        <v/>
      </c>
      <c r="R64" t="str">
        <f ca="1">Resultatmappe!BM47</f>
        <v/>
      </c>
      <c r="T64" t="str">
        <f ca="1">Resultatmappe!BW47</f>
        <v/>
      </c>
      <c r="V64" t="str">
        <f ca="1">Resultatmappe!CG47</f>
        <v/>
      </c>
      <c r="X64" t="str">
        <f ca="1">Resultatmappe!CQ47</f>
        <v/>
      </c>
      <c r="AL64" s="198" t="str">
        <f ca="1">Resultatmappe!JH47</f>
        <v/>
      </c>
      <c r="AN64" t="str">
        <f ca="1">Resultatmappe!JR47</f>
        <v/>
      </c>
      <c r="AP64" s="198" t="str">
        <f ca="1">Resultatmappe!KQ47</f>
        <v/>
      </c>
      <c r="AR64" s="198" t="str">
        <f ca="1">Resultatmappe!LA47</f>
        <v/>
      </c>
      <c r="AT64" s="198" t="str">
        <f ca="1">Resultatmappe!LK47</f>
        <v/>
      </c>
      <c r="AV64" t="str">
        <f ca="1">Resultatmappe!MT47</f>
        <v/>
      </c>
      <c r="AX64" t="str">
        <f ca="1">Resultatmappe!ND47</f>
        <v/>
      </c>
      <c r="AZ64" t="str">
        <f ca="1">Resultatmappe!NN47</f>
        <v/>
      </c>
      <c r="BB64" t="str">
        <f ca="1">Resultatmappe!NX47</f>
        <v/>
      </c>
      <c r="BD64" t="str">
        <f ca="1">Resultatmappe!OH47</f>
        <v/>
      </c>
      <c r="BH64" s="198" t="str">
        <f ca="1">Resultatmappe!TT47</f>
        <v/>
      </c>
      <c r="BJ64" s="197" t="str">
        <f ca="1">Resultatmappe!UO47</f>
        <v/>
      </c>
      <c r="BL64" t="str">
        <f ca="1">Resultatmappe!UX47</f>
        <v/>
      </c>
      <c r="BN64" t="str">
        <f ca="1">Resultatmappe!VT47</f>
        <v/>
      </c>
    </row>
    <row r="65" spans="1:66" x14ac:dyDescent="0.3">
      <c r="A65" s="3">
        <v>0</v>
      </c>
      <c r="B65" s="3">
        <v>0</v>
      </c>
      <c r="H65" t="str">
        <f ca="1">Resultatmappe!O48</f>
        <v/>
      </c>
      <c r="J65" t="str">
        <f ca="1">Resultatmappe!Y48</f>
        <v/>
      </c>
      <c r="L65" t="str">
        <f ca="1">Resultatmappe!AI48</f>
        <v/>
      </c>
      <c r="N65" t="str">
        <f ca="1">Resultatmappe!AS48</f>
        <v/>
      </c>
      <c r="P65" t="str">
        <f ca="1">Resultatmappe!BC48</f>
        <v/>
      </c>
      <c r="R65" t="str">
        <f ca="1">Resultatmappe!BM48</f>
        <v/>
      </c>
      <c r="T65" t="str">
        <f ca="1">Resultatmappe!BW48</f>
        <v/>
      </c>
      <c r="V65" t="str">
        <f ca="1">Resultatmappe!CG48</f>
        <v/>
      </c>
      <c r="X65" t="str">
        <f ca="1">Resultatmappe!CQ48</f>
        <v/>
      </c>
      <c r="AL65" s="198" t="str">
        <f ca="1">Resultatmappe!JH48</f>
        <v/>
      </c>
      <c r="AN65" t="str">
        <f ca="1">Resultatmappe!JR48</f>
        <v/>
      </c>
      <c r="AP65" s="198" t="str">
        <f ca="1">Resultatmappe!KQ48</f>
        <v/>
      </c>
      <c r="AR65" s="198" t="str">
        <f ca="1">Resultatmappe!LA48</f>
        <v/>
      </c>
      <c r="AT65" s="198" t="str">
        <f ca="1">Resultatmappe!LK48</f>
        <v/>
      </c>
      <c r="AV65" t="str">
        <f ca="1">Resultatmappe!MT48</f>
        <v/>
      </c>
      <c r="AX65" t="str">
        <f ca="1">Resultatmappe!ND48</f>
        <v/>
      </c>
      <c r="AZ65" t="str">
        <f ca="1">Resultatmappe!NN48</f>
        <v/>
      </c>
      <c r="BB65" t="str">
        <f ca="1">Resultatmappe!NX48</f>
        <v/>
      </c>
      <c r="BD65" t="str">
        <f ca="1">Resultatmappe!OH48</f>
        <v/>
      </c>
      <c r="BH65" s="198" t="str">
        <f ca="1">Resultatmappe!TT48</f>
        <v/>
      </c>
      <c r="BJ65" s="197" t="str">
        <f ca="1">Resultatmappe!UO48</f>
        <v/>
      </c>
      <c r="BL65" t="str">
        <f ca="1">Resultatmappe!UX48</f>
        <v/>
      </c>
      <c r="BN65" t="str">
        <f ca="1">Resultatmappe!VT48</f>
        <v/>
      </c>
    </row>
  </sheetData>
  <pageMargins left="0.7" right="0.7" top="0.78740157499999996" bottom="0.78740157499999996" header="0.3" footer="0.3"/>
  <tableParts count="6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F11"/>
  <sheetViews>
    <sheetView showGridLines="0" showRowColHeaders="0" zoomScaleNormal="100" workbookViewId="0"/>
  </sheetViews>
  <sheetFormatPr baseColWidth="10" defaultColWidth="0" defaultRowHeight="14.4" zeroHeight="1" x14ac:dyDescent="0.3"/>
  <cols>
    <col min="1" max="1" width="55.21875" style="302" customWidth="1"/>
    <col min="2" max="2" width="0.5546875" style="302" customWidth="1"/>
    <col min="3" max="3" width="1.21875" style="302" customWidth="1"/>
    <col min="4" max="4" width="5.44140625" style="302" customWidth="1"/>
    <col min="5" max="5" width="59.21875" style="302" customWidth="1"/>
    <col min="6" max="6" width="5.44140625" style="302" customWidth="1"/>
    <col min="7" max="16384" width="11.5546875" style="302" hidden="1"/>
  </cols>
  <sheetData>
    <row r="1" spans="1:5" ht="46.8" customHeight="1" x14ac:dyDescent="0.3">
      <c r="C1" s="360"/>
      <c r="E1" s="583" t="s">
        <v>572</v>
      </c>
    </row>
    <row r="2" spans="1:5" ht="2.4" customHeight="1" x14ac:dyDescent="0.3">
      <c r="C2" s="360"/>
      <c r="E2" s="583"/>
    </row>
    <row r="3" spans="1:5" ht="6.6" customHeight="1" x14ac:dyDescent="0.3">
      <c r="A3" s="360"/>
      <c r="B3" s="360"/>
      <c r="C3" s="360"/>
      <c r="E3" s="583"/>
    </row>
    <row r="4" spans="1:5" ht="2.4" customHeight="1" x14ac:dyDescent="0.3">
      <c r="E4" s="583"/>
    </row>
    <row r="5" spans="1:5" ht="150" customHeight="1" x14ac:dyDescent="0.3">
      <c r="E5" s="583"/>
    </row>
    <row r="6" spans="1:5" ht="6.6" customHeight="1" x14ac:dyDescent="0.3"/>
    <row r="7" spans="1:5" hidden="1" x14ac:dyDescent="0.3"/>
    <row r="8" spans="1:5" hidden="1" x14ac:dyDescent="0.3"/>
    <row r="9" spans="1:5" hidden="1" x14ac:dyDescent="0.3"/>
    <row r="10" spans="1:5" hidden="1" x14ac:dyDescent="0.3"/>
    <row r="11" spans="1:5" hidden="1" x14ac:dyDescent="0.3">
      <c r="A11" s="362"/>
    </row>
  </sheetData>
  <sheetProtection selectLockedCells="1"/>
  <protectedRanges>
    <protectedRange sqref="A1" name="Bereich1"/>
  </protectedRanges>
  <mergeCells count="1">
    <mergeCell ref="E1:E5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DB37"/>
  <sheetViews>
    <sheetView zoomScale="70" zoomScaleNormal="70" workbookViewId="0">
      <pane xSplit="1" topLeftCell="B1" activePane="topRight" state="frozen"/>
      <selection activeCell="A37" sqref="A37"/>
      <selection pane="topRight" activeCell="A37" sqref="A37"/>
    </sheetView>
  </sheetViews>
  <sheetFormatPr baseColWidth="10" defaultColWidth="11.5546875" defaultRowHeight="14.4" x14ac:dyDescent="0.3"/>
  <cols>
    <col min="1" max="1" width="9.109375" style="254" bestFit="1" customWidth="1"/>
    <col min="2" max="2" width="31.88671875" style="254" bestFit="1" customWidth="1"/>
    <col min="3" max="3" width="15.5546875" style="254" bestFit="1" customWidth="1"/>
    <col min="4" max="4" width="16.6640625" style="254" bestFit="1" customWidth="1"/>
    <col min="5" max="5" width="16.6640625" style="254" customWidth="1"/>
    <col min="6" max="6" width="15.6640625" style="254" bestFit="1" customWidth="1"/>
    <col min="7" max="7" width="14.109375" style="254" bestFit="1" customWidth="1"/>
    <col min="8" max="8" width="11.6640625" style="254" customWidth="1"/>
    <col min="9" max="9" width="34.88671875" style="254" bestFit="1" customWidth="1"/>
    <col min="10" max="10" width="21.21875" style="254" bestFit="1" customWidth="1"/>
    <col min="11" max="12" width="17.21875" style="254" customWidth="1"/>
    <col min="13" max="13" width="19.109375" style="254" bestFit="1" customWidth="1"/>
    <col min="14" max="14" width="14.6640625" style="254" customWidth="1"/>
    <col min="15" max="15" width="15" style="254" customWidth="1"/>
    <col min="16" max="16" width="33.109375" style="254" bestFit="1" customWidth="1"/>
    <col min="17" max="17" width="16.77734375" style="254" bestFit="1" customWidth="1"/>
    <col min="18" max="18" width="16.6640625" style="254" bestFit="1" customWidth="1"/>
    <col min="19" max="19" width="16.6640625" style="254" customWidth="1"/>
    <col min="20" max="20" width="16.88671875" style="254" bestFit="1" customWidth="1"/>
    <col min="21" max="21" width="12.77734375" style="254" bestFit="1" customWidth="1"/>
    <col min="22" max="22" width="13" style="254" bestFit="1" customWidth="1"/>
    <col min="23" max="23" width="31.109375" style="254" bestFit="1" customWidth="1"/>
    <col min="24" max="24" width="14.5546875" style="254" bestFit="1" customWidth="1"/>
    <col min="25" max="25" width="16.6640625" style="254" bestFit="1" customWidth="1"/>
    <col min="26" max="26" width="16.6640625" style="254" customWidth="1"/>
    <col min="27" max="27" width="14.5546875" style="254" bestFit="1" customWidth="1"/>
    <col min="28" max="28" width="10.21875" style="254" bestFit="1" customWidth="1"/>
    <col min="29" max="29" width="10.5546875" style="254" bestFit="1" customWidth="1"/>
    <col min="30" max="30" width="14.5546875" style="254" bestFit="1" customWidth="1"/>
    <col min="31" max="31" width="16.6640625" style="254" bestFit="1" customWidth="1"/>
    <col min="32" max="32" width="16.6640625" style="254" customWidth="1"/>
    <col min="33" max="33" width="15.6640625" style="254" bestFit="1" customWidth="1"/>
    <col min="34" max="34" width="15" style="254" customWidth="1"/>
    <col min="35" max="35" width="15.33203125" style="254" customWidth="1"/>
    <col min="36" max="36" width="17.109375" style="254" bestFit="1" customWidth="1"/>
    <col min="37" max="37" width="15" style="254" bestFit="1" customWidth="1"/>
    <col min="38" max="38" width="16.6640625" style="254" bestFit="1" customWidth="1"/>
    <col min="39" max="39" width="16.6640625" style="254" customWidth="1"/>
    <col min="40" max="40" width="16.109375" style="254" customWidth="1"/>
    <col min="41" max="41" width="15.5546875" style="254" bestFit="1" customWidth="1"/>
    <col min="42" max="42" width="15.77734375" style="254" customWidth="1"/>
    <col min="43" max="43" width="17.5546875" style="254" customWidth="1"/>
    <col min="44" max="44" width="14.5546875" style="254" bestFit="1" customWidth="1"/>
    <col min="45" max="45" width="16.6640625" style="254" bestFit="1" customWidth="1"/>
    <col min="46" max="46" width="16.6640625" style="254" customWidth="1"/>
    <col min="47" max="47" width="15.6640625" style="254" bestFit="1" customWidth="1"/>
    <col min="48" max="48" width="15" style="254" bestFit="1" customWidth="1"/>
    <col min="49" max="49" width="15.33203125" style="254" customWidth="1"/>
    <col min="50" max="50" width="17.109375" style="254" bestFit="1" customWidth="1"/>
    <col min="51" max="51" width="17.21875" style="254" customWidth="1"/>
    <col min="52" max="52" width="24.5546875" bestFit="1" customWidth="1"/>
    <col min="53" max="53" width="24.44140625" bestFit="1" customWidth="1"/>
    <col min="54" max="54" width="17.21875" style="255" customWidth="1"/>
    <col min="55" max="55" width="17.5546875" style="255" customWidth="1"/>
    <col min="56" max="56" width="27.109375" style="255" bestFit="1" customWidth="1"/>
    <col min="57" max="57" width="16.109375" style="255" customWidth="1"/>
    <col min="58" max="58" width="20.109375" style="255" bestFit="1" customWidth="1"/>
    <col min="59" max="60" width="16.6640625" style="255" bestFit="1" customWidth="1"/>
    <col min="61" max="61" width="16.109375" style="255" bestFit="1" customWidth="1"/>
    <col min="62" max="62" width="15.77734375" style="255" customWidth="1"/>
    <col min="63" max="63" width="24.44140625" style="255" bestFit="1" customWidth="1"/>
    <col min="64" max="64" width="14.6640625" style="255" bestFit="1" customWidth="1"/>
    <col min="65" max="65" width="23.5546875" style="255" bestFit="1" customWidth="1"/>
    <col min="66" max="66" width="16.6640625" style="255" bestFit="1" customWidth="1"/>
    <col min="67" max="67" width="23.5546875" style="255" customWidth="1"/>
    <col min="68" max="68" width="15.6640625" style="255" bestFit="1" customWidth="1"/>
    <col min="69" max="69" width="15" style="255" customWidth="1"/>
    <col min="70" max="70" width="15.5546875" style="255" bestFit="1" customWidth="1"/>
    <col min="71" max="71" width="16.77734375" style="255" bestFit="1" customWidth="1"/>
    <col min="72" max="72" width="23.5546875" style="255" bestFit="1" customWidth="1"/>
    <col min="73" max="73" width="17.44140625" style="255" bestFit="1" customWidth="1"/>
    <col min="74" max="74" width="16.6640625" style="255" bestFit="1" customWidth="1"/>
    <col min="75" max="75" width="23.5546875" style="255" bestFit="1" customWidth="1"/>
    <col min="76" max="76" width="16.109375" style="255" customWidth="1"/>
    <col min="77" max="77" width="15.5546875" style="255" bestFit="1" customWidth="1"/>
    <col min="78" max="78" width="15.77734375" style="255" customWidth="1"/>
    <col min="79" max="79" width="17.21875" style="255" bestFit="1" customWidth="1"/>
    <col min="80" max="80" width="23.5546875" style="255" bestFit="1" customWidth="1"/>
    <col min="81" max="81" width="16.44140625" style="255" customWidth="1"/>
    <col min="82" max="82" width="16.6640625" style="255" bestFit="1" customWidth="1"/>
    <col min="83" max="83" width="23.5546875" style="255" bestFit="1" customWidth="1"/>
    <col min="84" max="84" width="15.6640625" style="255" bestFit="1" customWidth="1"/>
    <col min="85" max="85" width="15" style="255" customWidth="1"/>
    <col min="86" max="86" width="15.5546875" style="255" bestFit="1" customWidth="1"/>
    <col min="87" max="87" width="16.77734375" style="255" bestFit="1" customWidth="1"/>
    <col min="88" max="88" width="23.5546875" style="255" bestFit="1" customWidth="1"/>
    <col min="89" max="89" width="14.88671875" style="255" bestFit="1" customWidth="1"/>
    <col min="90" max="90" width="14.21875" style="255" bestFit="1" customWidth="1"/>
    <col min="91" max="91" width="17.77734375" style="255" bestFit="1" customWidth="1"/>
    <col min="92" max="92" width="17.21875" style="255" customWidth="1"/>
    <col min="93" max="93" width="14.88671875" style="255" bestFit="1" customWidth="1"/>
    <col min="94" max="94" width="18" style="255" bestFit="1" customWidth="1"/>
    <col min="95" max="95" width="15.21875" style="255" bestFit="1" customWidth="1"/>
    <col min="96" max="96" width="16.6640625" style="255" bestFit="1" customWidth="1"/>
    <col min="97" max="97" width="18" style="255" bestFit="1" customWidth="1"/>
    <col min="98" max="98" width="17.21875" style="255" bestFit="1" customWidth="1"/>
    <col min="99" max="99" width="14.88671875" style="255" bestFit="1" customWidth="1"/>
    <col min="100" max="100" width="11.88671875" style="255" bestFit="1" customWidth="1"/>
    <col min="101" max="101" width="18" style="255" bestFit="1" customWidth="1"/>
    <col min="102" max="102" width="17.21875" style="255" bestFit="1" customWidth="1"/>
    <col min="103" max="103" width="14.88671875" style="255" bestFit="1" customWidth="1"/>
    <col min="104" max="104" width="14.5546875" style="255" bestFit="1" customWidth="1"/>
    <col min="105" max="105" width="18" style="255" bestFit="1" customWidth="1"/>
    <col min="106" max="106" width="17.21875" style="255" customWidth="1"/>
    <col min="107" max="107" width="12.5546875" style="255" bestFit="1" customWidth="1"/>
    <col min="108" max="108" width="7.77734375" style="255" bestFit="1" customWidth="1"/>
    <col min="109" max="109" width="9.5546875" style="255" customWidth="1"/>
    <col min="110" max="16384" width="11.5546875" style="255"/>
  </cols>
  <sheetData>
    <row r="1" spans="1:106" ht="12" customHeight="1" x14ac:dyDescent="0.3">
      <c r="A1" s="254" t="s">
        <v>342</v>
      </c>
      <c r="B1" s="254">
        <v>1</v>
      </c>
      <c r="I1" s="254">
        <v>2</v>
      </c>
      <c r="M1"/>
      <c r="P1" s="254">
        <v>3</v>
      </c>
      <c r="W1" s="254">
        <v>4</v>
      </c>
      <c r="AY1" s="255" t="str">
        <f>Stammdaten!$Q$17</f>
        <v>Parkour</v>
      </c>
      <c r="BA1" s="255"/>
      <c r="BD1" s="290">
        <v>0</v>
      </c>
      <c r="CK1" s="265" t="s">
        <v>354</v>
      </c>
      <c r="CL1" s="265"/>
      <c r="CM1" s="278">
        <v>1</v>
      </c>
      <c r="CN1" s="278"/>
      <c r="CS1" s="254">
        <v>2</v>
      </c>
      <c r="CT1" s="254"/>
      <c r="CU1" s="254"/>
      <c r="CV1" s="254"/>
      <c r="CW1" s="254">
        <v>3</v>
      </c>
      <c r="CX1" s="254"/>
      <c r="CY1" s="254"/>
      <c r="CZ1" s="254"/>
      <c r="DA1" s="254">
        <v>4</v>
      </c>
    </row>
    <row r="2" spans="1:106" ht="12" customHeight="1" x14ac:dyDescent="0.3">
      <c r="A2" s="254" t="str">
        <f>$A$1&amp;"[StdDisziplin]"</f>
        <v>StdDisziplinen[StdDisziplin]</v>
      </c>
      <c r="G2"/>
      <c r="M2"/>
      <c r="AZ2" s="255" t="str">
        <f>$AY$1&amp;Stammdaten!$AX$33&amp;Stammdaten!$AX$34</f>
        <v>ParkourGerundet[Rundung]</v>
      </c>
      <c r="BA2" s="279" t="str">
        <f>$A$1&amp;"[Bewertung2]"</f>
        <v>StdDisziplinen[Bewertung2]</v>
      </c>
      <c r="BD2" s="255" t="str">
        <f>$AY$1&amp;Stammdaten!$AX$30&amp;REPLACE(Stammdaten!$AX$31,2,1,"")</f>
        <v>ParkourSkalawert[[Skala-Wert]]</v>
      </c>
      <c r="BK2" s="279" t="str">
        <f>$BA$2</f>
        <v>StdDisziplinen[Bewertung2]</v>
      </c>
      <c r="CK2" s="255" t="s">
        <v>364</v>
      </c>
      <c r="CL2" s="254">
        <f>Resultatmappe!$FA$4</f>
        <v>4</v>
      </c>
      <c r="CM2" s="255" t="s">
        <v>436</v>
      </c>
      <c r="CN2" s="255" t="s">
        <v>354</v>
      </c>
      <c r="CO2" s="254"/>
      <c r="CP2" s="254">
        <f>Resultatmappe!$IZ$4</f>
        <v>3</v>
      </c>
      <c r="CQ2" s="254"/>
      <c r="CR2" s="254">
        <v>1</v>
      </c>
      <c r="CS2" s="255" t="s">
        <v>437</v>
      </c>
      <c r="CW2" s="255" t="s">
        <v>510</v>
      </c>
      <c r="CZ2" s="254">
        <f>Resultatmappe!$RV$4</f>
        <v>3</v>
      </c>
      <c r="DA2" s="255" t="s">
        <v>438</v>
      </c>
    </row>
    <row r="3" spans="1:106" ht="12" customHeight="1" x14ac:dyDescent="0.3">
      <c r="G3" s="275"/>
      <c r="M3"/>
      <c r="BA3" s="255"/>
      <c r="BD3" s="291" t="s">
        <v>522</v>
      </c>
      <c r="BJ3"/>
      <c r="CK3" s="255" t="s">
        <v>363</v>
      </c>
      <c r="CM3" s="255" t="str">
        <f>$CK$3&amp;CM1&amp;CM2</f>
        <v>AuswDipl1[BS_11]</v>
      </c>
      <c r="CN3" s="255" t="str">
        <f>$CN$2&amp;$CK$2</f>
        <v>Medaillen[Medaille]</v>
      </c>
      <c r="CO3" s="254"/>
      <c r="CP3" s="254"/>
      <c r="CQ3" s="254"/>
      <c r="CR3" s="254"/>
      <c r="CS3" s="255" t="str">
        <f>$CK$3&amp;CS1&amp;CS2</f>
        <v>AuswDipl2[BS_21]</v>
      </c>
      <c r="CT3" s="255" t="str">
        <f>$CN$3</f>
        <v>Medaillen[Medaille]</v>
      </c>
      <c r="CW3" s="255" t="str">
        <f>$CK$3&amp;CW1&amp;CW2</f>
        <v>AuswDipl3[BS_3]</v>
      </c>
      <c r="CX3" s="255" t="str">
        <f>$CN$3</f>
        <v>Medaillen[Medaille]</v>
      </c>
      <c r="DA3" s="255" t="str">
        <f>$CK$3&amp;DA1&amp;DA2</f>
        <v>AuswDipl4[BS_41]</v>
      </c>
      <c r="DB3" s="255" t="str">
        <f>$CN$3</f>
        <v>Medaillen[Medaille]</v>
      </c>
    </row>
    <row r="4" spans="1:106" ht="12" customHeight="1" x14ac:dyDescent="0.3">
      <c r="A4" s="254" t="s">
        <v>55</v>
      </c>
      <c r="B4" s="256" t="str">
        <f ca="1">INDEX(INDIRECT($A$4),$B1)</f>
        <v>Sprintdisziplinen</v>
      </c>
      <c r="C4" s="256"/>
      <c r="D4" s="256"/>
      <c r="E4" s="256"/>
      <c r="F4" s="255"/>
      <c r="I4" s="256" t="str">
        <f ca="1">INDEX(INDIRECT($A$4),$I1)</f>
        <v>Ausdauerdisziplinen</v>
      </c>
      <c r="J4" s="256"/>
      <c r="K4" s="257"/>
      <c r="L4" s="257"/>
      <c r="M4"/>
      <c r="N4"/>
      <c r="P4" s="256" t="str">
        <f ca="1">INDEX(INDIRECT($A$4),$P1)</f>
        <v>Sprungdisziplinen</v>
      </c>
      <c r="Q4" s="256"/>
      <c r="R4" s="256"/>
      <c r="S4" s="256"/>
      <c r="T4" s="253"/>
      <c r="W4" s="256" t="str">
        <f ca="1">INDEX(INDIRECT($A$4),$W1)</f>
        <v>Wurfdisziplinen</v>
      </c>
      <c r="X4" s="256"/>
      <c r="Y4" s="256"/>
      <c r="Z4" s="256"/>
      <c r="AA4" s="253"/>
      <c r="AD4" s="287"/>
      <c r="AE4" s="287"/>
      <c r="AF4" s="287"/>
      <c r="AG4" s="287"/>
      <c r="AH4" s="287"/>
      <c r="AI4" s="287"/>
      <c r="AJ4" s="287"/>
      <c r="AK4" s="288"/>
      <c r="AL4" s="288"/>
      <c r="AM4" s="288"/>
      <c r="AN4" s="288"/>
      <c r="AO4" s="288"/>
      <c r="AP4" s="288"/>
      <c r="AQ4" s="288"/>
      <c r="AR4" s="289"/>
      <c r="AS4" s="289"/>
      <c r="AT4" s="289"/>
      <c r="AU4" s="289"/>
      <c r="AV4" s="289"/>
      <c r="AW4" s="289"/>
      <c r="AX4" s="289"/>
      <c r="AY4" s="278"/>
      <c r="AZ4" s="255"/>
      <c r="BA4" s="255"/>
      <c r="BC4" s="279"/>
      <c r="BD4" s="291" t="s">
        <v>523</v>
      </c>
      <c r="BM4" s="258"/>
      <c r="BN4" s="258"/>
      <c r="BO4" s="258"/>
      <c r="BP4" s="258"/>
      <c r="BQ4" s="258"/>
      <c r="BR4" s="258"/>
      <c r="BS4" s="258"/>
      <c r="BT4" s="258"/>
      <c r="BU4" s="259"/>
      <c r="BV4" s="259"/>
      <c r="BW4" s="259"/>
      <c r="BX4" s="259"/>
      <c r="BY4" s="259"/>
      <c r="BZ4" s="259"/>
      <c r="CA4" s="259"/>
      <c r="CB4" s="259"/>
      <c r="CC4" s="260"/>
      <c r="CD4" s="260"/>
      <c r="CE4" s="260"/>
      <c r="CF4" s="260"/>
      <c r="CG4" s="260"/>
      <c r="CH4" s="260"/>
      <c r="CI4" s="260"/>
      <c r="CJ4" s="260"/>
      <c r="CM4" s="255" t="str">
        <f>$CK$3&amp;CM1&amp;$CK$2</f>
        <v>AuswDipl1[Medaille]</v>
      </c>
      <c r="CN4" s="255" t="str">
        <f>$CN$2&amp;"[Position]"</f>
        <v>Medaillen[Position]</v>
      </c>
      <c r="CS4" s="255" t="str">
        <f>$CK$3&amp;CS1&amp;$CK$2</f>
        <v>AuswDipl2[Medaille]</v>
      </c>
      <c r="CT4" s="255" t="str">
        <f>$CN$4</f>
        <v>Medaillen[Position]</v>
      </c>
      <c r="CW4" s="255" t="str">
        <f>$CK$3&amp;CW1&amp;$CK$2</f>
        <v>AuswDipl3[Medaille]</v>
      </c>
      <c r="CX4" s="255" t="str">
        <f>$CN$4</f>
        <v>Medaillen[Position]</v>
      </c>
      <c r="DA4" s="255" t="str">
        <f>$CK$3&amp;DA1&amp;$CK$2</f>
        <v>AuswDipl4[Medaille]</v>
      </c>
      <c r="DB4" s="255" t="str">
        <f>$CN$4</f>
        <v>Medaillen[Position]</v>
      </c>
    </row>
    <row r="5" spans="1:106" ht="12" customHeight="1" x14ac:dyDescent="0.25">
      <c r="A5" s="254" t="s">
        <v>306</v>
      </c>
      <c r="B5" s="254" t="s">
        <v>309</v>
      </c>
      <c r="C5" s="254" t="s">
        <v>330</v>
      </c>
      <c r="D5" s="254" t="s">
        <v>332</v>
      </c>
      <c r="E5" s="254" t="s">
        <v>556</v>
      </c>
      <c r="F5" s="254" t="s">
        <v>374</v>
      </c>
      <c r="G5" s="254" t="s">
        <v>307</v>
      </c>
      <c r="H5" s="254" t="s">
        <v>308</v>
      </c>
      <c r="I5" s="254" t="s">
        <v>317</v>
      </c>
      <c r="J5" s="254" t="s">
        <v>331</v>
      </c>
      <c r="K5" s="254" t="s">
        <v>333</v>
      </c>
      <c r="L5" s="254" t="s">
        <v>557</v>
      </c>
      <c r="M5" s="254" t="s">
        <v>375</v>
      </c>
      <c r="N5" s="254" t="s">
        <v>318</v>
      </c>
      <c r="O5" s="254" t="s">
        <v>319</v>
      </c>
      <c r="P5" s="254" t="s">
        <v>320</v>
      </c>
      <c r="Q5" s="254" t="s">
        <v>335</v>
      </c>
      <c r="R5" s="254" t="s">
        <v>334</v>
      </c>
      <c r="S5" s="254" t="s">
        <v>558</v>
      </c>
      <c r="T5" s="254" t="s">
        <v>376</v>
      </c>
      <c r="U5" s="254" t="s">
        <v>321</v>
      </c>
      <c r="V5" s="254" t="s">
        <v>322</v>
      </c>
      <c r="W5" s="254" t="s">
        <v>328</v>
      </c>
      <c r="X5" s="254" t="s">
        <v>337</v>
      </c>
      <c r="Y5" s="254" t="s">
        <v>336</v>
      </c>
      <c r="Z5" s="254" t="s">
        <v>559</v>
      </c>
      <c r="AA5" s="254" t="s">
        <v>377</v>
      </c>
      <c r="AB5" s="254" t="s">
        <v>326</v>
      </c>
      <c r="AC5" s="254" t="s">
        <v>327</v>
      </c>
      <c r="AD5" s="254" t="s">
        <v>474</v>
      </c>
      <c r="AE5" s="254" t="s">
        <v>475</v>
      </c>
      <c r="AF5" s="254" t="s">
        <v>548</v>
      </c>
      <c r="AG5" s="254" t="s">
        <v>476</v>
      </c>
      <c r="AH5" s="254" t="s">
        <v>477</v>
      </c>
      <c r="AI5" s="254" t="s">
        <v>478</v>
      </c>
      <c r="AJ5" s="254" t="s">
        <v>479</v>
      </c>
      <c r="AK5" s="254" t="s">
        <v>480</v>
      </c>
      <c r="AL5" s="254" t="s">
        <v>481</v>
      </c>
      <c r="AM5" s="254" t="s">
        <v>549</v>
      </c>
      <c r="AN5" s="254" t="s">
        <v>491</v>
      </c>
      <c r="AO5" s="254" t="s">
        <v>482</v>
      </c>
      <c r="AP5" s="254" t="s">
        <v>483</v>
      </c>
      <c r="AQ5" s="254" t="s">
        <v>484</v>
      </c>
      <c r="AR5" s="254" t="s">
        <v>485</v>
      </c>
      <c r="AS5" s="254" t="s">
        <v>486</v>
      </c>
      <c r="AT5" s="254" t="s">
        <v>550</v>
      </c>
      <c r="AU5" s="254" t="s">
        <v>487</v>
      </c>
      <c r="AV5" s="254" t="s">
        <v>488</v>
      </c>
      <c r="AW5" s="254" t="s">
        <v>489</v>
      </c>
      <c r="AX5" s="254" t="s">
        <v>490</v>
      </c>
      <c r="AY5" s="254" t="s">
        <v>519</v>
      </c>
      <c r="AZ5" s="254" t="s">
        <v>349</v>
      </c>
      <c r="BA5" s="254" t="s">
        <v>421</v>
      </c>
      <c r="BB5" s="254" t="s">
        <v>350</v>
      </c>
      <c r="BC5" s="254" t="s">
        <v>351</v>
      </c>
      <c r="BD5" s="254" t="s">
        <v>420</v>
      </c>
      <c r="BE5" s="254" t="s">
        <v>348</v>
      </c>
      <c r="BF5" s="254" t="s">
        <v>551</v>
      </c>
      <c r="BG5" s="254" t="s">
        <v>552</v>
      </c>
      <c r="BH5" s="254" t="s">
        <v>553</v>
      </c>
      <c r="BI5" s="254" t="s">
        <v>428</v>
      </c>
      <c r="BJ5" s="254" t="s">
        <v>429</v>
      </c>
      <c r="BK5" s="254" t="s">
        <v>422</v>
      </c>
      <c r="BL5" s="254" t="s">
        <v>353</v>
      </c>
      <c r="BM5" s="285" t="s">
        <v>454</v>
      </c>
      <c r="BN5" s="285" t="s">
        <v>455</v>
      </c>
      <c r="BO5" s="285" t="s">
        <v>543</v>
      </c>
      <c r="BP5" s="285" t="s">
        <v>456</v>
      </c>
      <c r="BQ5" s="285" t="s">
        <v>458</v>
      </c>
      <c r="BR5" s="285" t="s">
        <v>457</v>
      </c>
      <c r="BS5" s="285" t="s">
        <v>459</v>
      </c>
      <c r="BT5" s="285" t="s">
        <v>453</v>
      </c>
      <c r="BU5" s="285" t="s">
        <v>460</v>
      </c>
      <c r="BV5" s="285" t="s">
        <v>461</v>
      </c>
      <c r="BW5" s="285" t="s">
        <v>545</v>
      </c>
      <c r="BX5" s="285" t="s">
        <v>462</v>
      </c>
      <c r="BY5" s="285" t="s">
        <v>463</v>
      </c>
      <c r="BZ5" s="285" t="s">
        <v>464</v>
      </c>
      <c r="CA5" s="285" t="s">
        <v>466</v>
      </c>
      <c r="CB5" s="285" t="s">
        <v>465</v>
      </c>
      <c r="CC5" s="285" t="s">
        <v>467</v>
      </c>
      <c r="CD5" s="285" t="s">
        <v>468</v>
      </c>
      <c r="CE5" s="285" t="s">
        <v>546</v>
      </c>
      <c r="CF5" s="285" t="s">
        <v>469</v>
      </c>
      <c r="CG5" s="285" t="s">
        <v>470</v>
      </c>
      <c r="CH5" s="285" t="s">
        <v>471</v>
      </c>
      <c r="CI5" s="285" t="s">
        <v>472</v>
      </c>
      <c r="CJ5" s="285" t="s">
        <v>473</v>
      </c>
      <c r="CK5" s="254" t="s">
        <v>356</v>
      </c>
      <c r="CL5" s="254" t="s">
        <v>520</v>
      </c>
      <c r="CM5" s="254" t="s">
        <v>359</v>
      </c>
      <c r="CN5" s="254" t="s">
        <v>503</v>
      </c>
      <c r="CO5" s="254" t="s">
        <v>355</v>
      </c>
      <c r="CP5" s="254" t="s">
        <v>541</v>
      </c>
      <c r="CQ5" s="254" t="s">
        <v>542</v>
      </c>
      <c r="CR5" s="254" t="s">
        <v>524</v>
      </c>
      <c r="CS5" s="254" t="s">
        <v>360</v>
      </c>
      <c r="CT5" s="254" t="s">
        <v>505</v>
      </c>
      <c r="CU5" s="254" t="s">
        <v>357</v>
      </c>
      <c r="CV5" s="254" t="s">
        <v>439</v>
      </c>
      <c r="CW5" s="254" t="s">
        <v>361</v>
      </c>
      <c r="CX5" s="254" t="s">
        <v>506</v>
      </c>
      <c r="CY5" s="254" t="s">
        <v>358</v>
      </c>
      <c r="CZ5" s="254" t="s">
        <v>521</v>
      </c>
      <c r="DA5" s="254" t="s">
        <v>362</v>
      </c>
      <c r="DB5" s="254" t="s">
        <v>507</v>
      </c>
    </row>
    <row r="6" spans="1:106" ht="12" customHeight="1" x14ac:dyDescent="0.25">
      <c r="A6" s="254" t="s">
        <v>306</v>
      </c>
      <c r="B6" s="254">
        <f>Resultatmappe!$CW$6</f>
        <v>101</v>
      </c>
      <c r="F6" s="254">
        <f>Resultatmappe!$CX$6</f>
        <v>102</v>
      </c>
      <c r="G6" s="254">
        <f>Resultatmappe!$DA$6</f>
        <v>105</v>
      </c>
      <c r="H6" s="254">
        <f>Resultatmappe!$DC$6</f>
        <v>107</v>
      </c>
      <c r="I6" s="254">
        <f>Resultatmappe!$DH$6</f>
        <v>112</v>
      </c>
      <c r="M6" s="254">
        <f>Resultatmappe!$DI$6</f>
        <v>113</v>
      </c>
      <c r="N6" s="270">
        <f>Resultatmappe!$DL$6</f>
        <v>116</v>
      </c>
      <c r="O6" s="254">
        <f>Resultatmappe!$DN$6</f>
        <v>118</v>
      </c>
      <c r="P6" s="254">
        <f>Resultatmappe!$DS$6</f>
        <v>123</v>
      </c>
      <c r="T6" s="254">
        <f>Resultatmappe!$DT$6</f>
        <v>124</v>
      </c>
      <c r="U6" s="254">
        <f>Resultatmappe!$DW$6</f>
        <v>127</v>
      </c>
      <c r="V6" s="254">
        <f>Resultatmappe!$DY$6</f>
        <v>129</v>
      </c>
      <c r="W6" s="254">
        <f>Resultatmappe!$EG$6</f>
        <v>137</v>
      </c>
      <c r="AA6" s="254">
        <f>Resultatmappe!$EH$6</f>
        <v>138</v>
      </c>
      <c r="AB6" s="254">
        <f>Resultatmappe!$EK$6</f>
        <v>141</v>
      </c>
      <c r="AC6" s="254">
        <f>Resultatmappe!$EM$6</f>
        <v>143</v>
      </c>
      <c r="AD6" s="254">
        <f>Resultatmappe!$HT$6</f>
        <v>228</v>
      </c>
      <c r="AE6" s="254">
        <f>Resultatmappe!$HU$6</f>
        <v>229</v>
      </c>
      <c r="AG6" s="254">
        <f>Resultatmappe!$HV$6</f>
        <v>230</v>
      </c>
      <c r="AH6" s="254">
        <f>Resultatmappe!$HX$6</f>
        <v>232</v>
      </c>
      <c r="AJ6" s="254">
        <f>Resultatmappe!$IA$6</f>
        <v>235</v>
      </c>
      <c r="AK6" s="254">
        <f>Resultatmappe!$II$6</f>
        <v>243</v>
      </c>
      <c r="AL6" s="254">
        <f>Resultatmappe!$IJ$6</f>
        <v>244</v>
      </c>
      <c r="AN6" s="254">
        <f>Resultatmappe!$IK$6</f>
        <v>245</v>
      </c>
      <c r="AO6" s="254">
        <f>Resultatmappe!$IM$6</f>
        <v>247</v>
      </c>
      <c r="AQ6" s="254">
        <f>Resultatmappe!$IP$6</f>
        <v>250</v>
      </c>
      <c r="AR6" s="254">
        <f>Resultatmappe!$IR$6</f>
        <v>252</v>
      </c>
      <c r="AS6" s="254">
        <f>Resultatmappe!$IS$6</f>
        <v>253</v>
      </c>
      <c r="AU6" s="254">
        <f>Resultatmappe!$IT$6</f>
        <v>254</v>
      </c>
      <c r="AV6" s="254">
        <f>Resultatmappe!$IV$6</f>
        <v>256</v>
      </c>
      <c r="AX6" s="254">
        <f>Resultatmappe!$IY$6</f>
        <v>259</v>
      </c>
      <c r="AZ6" s="254"/>
      <c r="BA6" s="254"/>
      <c r="BB6" s="254"/>
      <c r="BC6" s="254"/>
      <c r="BD6" s="278"/>
      <c r="BE6" s="254">
        <f>Resultatmappe!$JV$6</f>
        <v>282</v>
      </c>
      <c r="BF6" s="254">
        <f>Resultatmappe!$LX$6</f>
        <v>336</v>
      </c>
      <c r="BG6" s="254">
        <f>Resultatmappe!$LY$6</f>
        <v>337</v>
      </c>
      <c r="BH6" s="254"/>
      <c r="BI6" s="254">
        <f>Resultatmappe!$ME$6</f>
        <v>343</v>
      </c>
      <c r="BJ6" s="254"/>
      <c r="BK6" s="254"/>
      <c r="BL6" s="254">
        <f>Resultatmappe!$MH$6</f>
        <v>346</v>
      </c>
      <c r="BM6" s="254">
        <f>Resultatmappe!$PN$6</f>
        <v>430</v>
      </c>
      <c r="BN6" s="254">
        <f>Resultatmappe!$PO$6</f>
        <v>431</v>
      </c>
      <c r="BO6" s="254"/>
      <c r="BP6" s="254">
        <f>Resultatmappe!$PP$6</f>
        <v>432</v>
      </c>
      <c r="BQ6" s="254">
        <f>Resultatmappe!$PS$6</f>
        <v>435</v>
      </c>
      <c r="BR6" s="254"/>
      <c r="BS6" s="254">
        <f>Resultatmappe!$PV$6</f>
        <v>438</v>
      </c>
      <c r="BT6" s="254">
        <f>Resultatmappe!$PY$6</f>
        <v>441</v>
      </c>
      <c r="BU6" s="254">
        <f>Resultatmappe!$QG$6</f>
        <v>449</v>
      </c>
      <c r="BV6" s="254">
        <f>Resultatmappe!$QH$6</f>
        <v>450</v>
      </c>
      <c r="BW6" s="254"/>
      <c r="BX6" s="254">
        <f>Resultatmappe!$QI$6</f>
        <v>451</v>
      </c>
      <c r="BY6" s="254">
        <f>Resultatmappe!$QL$6</f>
        <v>454</v>
      </c>
      <c r="BZ6" s="254"/>
      <c r="CA6" s="254">
        <f>Resultatmappe!$QO$6</f>
        <v>457</v>
      </c>
      <c r="CB6" s="254">
        <f>Resultatmappe!$QR$6</f>
        <v>460</v>
      </c>
      <c r="CC6" s="254">
        <f>Resultatmappe!$QT$6</f>
        <v>462</v>
      </c>
      <c r="CD6" s="254">
        <f>Resultatmappe!$QU$6</f>
        <v>463</v>
      </c>
      <c r="CE6" s="254"/>
      <c r="CF6" s="254">
        <f>Resultatmappe!$QV$6</f>
        <v>464</v>
      </c>
      <c r="CG6" s="254">
        <f>Resultatmappe!$QY$6</f>
        <v>467</v>
      </c>
      <c r="CH6" s="254"/>
      <c r="CI6" s="254">
        <f>Resultatmappe!$RB$6</f>
        <v>470</v>
      </c>
      <c r="CJ6" s="254">
        <f>Resultatmappe!$RE$6</f>
        <v>473</v>
      </c>
      <c r="CK6" s="254">
        <f>Resultatmappe!$SD$6</f>
        <v>498</v>
      </c>
      <c r="CL6" s="254">
        <f>Resultatmappe!$EN$6</f>
        <v>144</v>
      </c>
      <c r="CM6" s="254"/>
      <c r="CN6" s="254"/>
      <c r="CO6" s="254">
        <f>Resultatmappe!$SE$6</f>
        <v>499</v>
      </c>
      <c r="CP6" s="254">
        <f>Resultatmappe!$GU$6</f>
        <v>203</v>
      </c>
      <c r="CQ6" s="254">
        <f>Resultatmappe!$JX$6</f>
        <v>284</v>
      </c>
      <c r="CR6" s="254"/>
      <c r="CS6" s="254"/>
      <c r="CT6" s="254"/>
      <c r="CU6" s="254">
        <f>Resultatmappe!$SF$6</f>
        <v>500</v>
      </c>
      <c r="CV6" s="254"/>
      <c r="CW6" s="254"/>
      <c r="CX6" s="254"/>
      <c r="CY6" s="254">
        <f>Resultatmappe!$SG$6</f>
        <v>501</v>
      </c>
      <c r="CZ6" s="254">
        <f>Resultatmappe!$OO$6</f>
        <v>405</v>
      </c>
      <c r="DA6" s="254"/>
      <c r="DB6" s="254"/>
    </row>
    <row r="7" spans="1:106" ht="12" customHeight="1" x14ac:dyDescent="0.25">
      <c r="A7" s="254">
        <v>1</v>
      </c>
      <c r="B7" s="254" t="str">
        <f ca="1">VLOOKUP(AuswDipl0[[#This Row],[Nummer]],_Diplom,B$6,FALSE)</f>
        <v>Sprintdisziplinen nicht durchgeführt</v>
      </c>
      <c r="C7" s="254" t="str">
        <f ca="1">IFERROR(VLOOKUP(AuswDipl0[[#This Row],[Sprint0]],INDIRECT($A$2),1,0),$B$4)</f>
        <v>Sprintdisziplinen</v>
      </c>
      <c r="D7" s="254" t="str">
        <f ca="1">IF(AuswDipl0[[#This Row],[Sprint00]]=$B$4,MID(AuswDipl0[[#This Row],[Sprint0]],FIND(" ",AuswDipl0[[#This Row],[Sprint0]],1)+1,LEN(AuswDipl0[[#This Row],[Sprint0]])),"")</f>
        <v>nicht durchgeführt</v>
      </c>
      <c r="E7" s="254" t="str">
        <f ca="1">IF(AuswDipl0[[#This Row],[Sprint000]]=Stammdaten!$AY$27,AuswDipl0[[#This Row],[Sprint000]],"")</f>
        <v>nicht durchgeführt</v>
      </c>
      <c r="F7" s="254" t="str">
        <f ca="1">IF(VLOOKUP(AuswDipl0[[#This Row],[Nummer]],_Diplom,F$6,FALSE)="",""," "&amp;VLOOKUP(AuswDipl0[[#This Row],[Nummer]],_Diplom,F$6,FALSE))</f>
        <v/>
      </c>
      <c r="G7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7" s="254" t="str">
        <f ca="1">IF(VLOOKUP(AuswDipl0[[#This Row],[Nummer]],_Diplom,H$6,FALSE)&lt;&gt;"","("&amp;VLOOKUP(AuswDipl0[[#This Row],[Nummer]],_Diplom,H$6,FALSE)&amp;")","")</f>
        <v/>
      </c>
      <c r="I7" s="254" t="str">
        <f ca="1">VLOOKUP(AuswDipl0[[#This Row],[Nummer]],_Diplom,I$6,FALSE)</f>
        <v>Ausdauerdisziplinen nicht durchgeführt</v>
      </c>
      <c r="J7" s="254" t="str">
        <f ca="1">IFERROR(VLOOKUP(AuswDipl0[[#This Row],[Ausdauer0]],INDIRECT($A$2),1,0),$I$4)</f>
        <v>Ausdauerdisziplinen</v>
      </c>
      <c r="K7" s="254" t="str">
        <f ca="1">IF(AuswDipl0[[#This Row],[Ausdauer00]]=$I$4,MID(AuswDipl0[[#This Row],[Ausdauer0]],FIND(" ",AuswDipl0[[#This Row],[Ausdauer0]],1)+1,LEN(AuswDipl0[[#This Row],[Ausdauer0]])),"")</f>
        <v>nicht durchgeführt</v>
      </c>
      <c r="L7" s="254" t="str">
        <f ca="1">IF(AuswDipl0[[#This Row],[Ausdauer000]]=Stammdaten!$AY$27,AuswDipl0[[#This Row],[Ausdauer000]],"")</f>
        <v>nicht durchgeführt</v>
      </c>
      <c r="M7" s="254" t="str">
        <f ca="1">IF(VLOOKUP(AuswDipl0[[#This Row],[Nummer]],_Diplom,M$6,FALSE)="",""," "&amp;VLOOKUP(AuswDipl0[[#This Row],[Nummer]],_Diplom,M$6,FALSE))</f>
        <v/>
      </c>
      <c r="N7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7" s="254" t="str">
        <f ca="1">IF(VLOOKUP(AuswDipl0[[#This Row],[Nummer]],_Diplom,O$6,FALSE)&lt;&gt;"","("&amp;VLOOKUP(AuswDipl0[[#This Row],[Nummer]],_Diplom,O$6,FALSE)&amp;")","")</f>
        <v/>
      </c>
      <c r="P7" s="254" t="str">
        <f ca="1">VLOOKUP(AuswDipl0[[#This Row],[Nummer]],_Diplom,P$6,FALSE)</f>
        <v>Sprungdisziplinen nicht durchgeführt</v>
      </c>
      <c r="Q7" s="254" t="str">
        <f ca="1">IFERROR(VLOOKUP(AuswDipl0[[#This Row],[Sprung0]],INDIRECT($A$2),1,0),$P$4)</f>
        <v>Sprungdisziplinen</v>
      </c>
      <c r="R7" s="254" t="str">
        <f ca="1">IF(AuswDipl0[[#This Row],[Sprung00]]=$P$4,MID(AuswDipl0[[#This Row],[Sprung0]],FIND(" ",AuswDipl0[[#This Row],[Sprung0]],1)+1,LEN(AuswDipl0[[#This Row],[Sprung0]])),"")</f>
        <v>nicht durchgeführt</v>
      </c>
      <c r="S7" s="254" t="str">
        <f ca="1">IF(AuswDipl0[[#This Row],[Sprung000]]=Stammdaten!$AY$27,AuswDipl0[[#This Row],[Sprung000]],"")</f>
        <v>nicht durchgeführt</v>
      </c>
      <c r="T7" s="254" t="str">
        <f ca="1">IF(VLOOKUP(AuswDipl0[[#This Row],[Nummer]],_Diplom,T$6,FALSE)="",""," "&amp;VLOOKUP(AuswDipl0[[#This Row],[Nummer]],_Diplom,T$6,FALSE))</f>
        <v/>
      </c>
      <c r="U7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7" s="254" t="str">
        <f ca="1">IF(VLOOKUP(AuswDipl0[[#This Row],[Nummer]],_Diplom,V$6,FALSE)&lt;&gt;"","("&amp;VLOOKUP(AuswDipl0[[#This Row],[Nummer]],_Diplom,V$6,FALSE)&amp;")","")</f>
        <v/>
      </c>
      <c r="W7" s="254" t="str">
        <f ca="1">VLOOKUP(AuswDipl0[[#This Row],[Nummer]],_Diplom,W$6,FALSE)</f>
        <v>Wurfdisziplinen nicht durchgeführt</v>
      </c>
      <c r="X7" s="254" t="str">
        <f ca="1">IFERROR(VLOOKUP(AuswDipl0[[#This Row],[Wurf0]],INDIRECT($A$2),1,0),$W$4)</f>
        <v>Wurfdisziplinen</v>
      </c>
      <c r="Y7" s="254" t="str">
        <f ca="1">IF(AuswDipl0[[#This Row],[Wurf00]]=$W$4,MID(AuswDipl0[[#This Row],[Wurf0]],FIND(" ",AuswDipl0[[#This Row],[Wurf0]],1)+1,LEN(AuswDipl0[[#This Row],[Wurf0]])),"")</f>
        <v>nicht durchgeführt</v>
      </c>
      <c r="Z7" s="254" t="str">
        <f ca="1">IF(AuswDipl0[[#This Row],[Wurf000]]=Stammdaten!$AY$27,AuswDipl0[[#This Row],[Wurf000]],"")</f>
        <v>nicht durchgeführt</v>
      </c>
      <c r="AA7" s="254" t="str">
        <f ca="1">IF(VLOOKUP(AuswDipl0[[#This Row],[Nummer]],_Diplom,AA$6,FALSE)="",""," "&amp;VLOOKUP(AuswDipl0[[#This Row],[Nummer]],_Diplom,AA$6,FALSE))</f>
        <v/>
      </c>
      <c r="AB7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7" s="254" t="str">
        <f ca="1">IF(VLOOKUP(AuswDipl0[[#This Row],[Nummer]],_Diplom,AC$6,FALSE)&lt;&gt;"","("&amp;VLOOKUP(AuswDipl0[[#This Row],[Nummer]],_Diplom,AC$6,FALSE)&amp;")","")</f>
        <v/>
      </c>
      <c r="AD7" s="254" t="str">
        <f ca="1">IF(AuswDipl0[[#This Row],[ErGe_Höchst]]&lt;&gt;"",VLOOKUP(AuswDipl0[[#This Row],[Nummer]],_Diplom,$AD$6,FALSE),VLOOKUP(AuswDipl0[[#This Row],[Nummer]],_Diplom,$AD$6,FALSE))</f>
        <v>Erstes Gerät</v>
      </c>
      <c r="AE7" s="254" t="str">
        <f ca="1">VLOOKUP(AuswDipl0[[#This Row],[Nummer]],_Diplom,$AE$6,FALSE)</f>
        <v>nicht durchgeführt</v>
      </c>
      <c r="AF7" s="254" t="str">
        <f ca="1">IF(AuswDipl0[[#This Row],[ErGe_Höchst]]&lt;&gt;"",AuswDipl0[[#This Row],[ErGe_Höchst]],AuswDipl0[[#This Row],[ErGe_Txt2]])</f>
        <v>nicht durchgeführt</v>
      </c>
      <c r="AG7" s="254" t="str">
        <f ca="1">VLOOKUP(AuswDipl0[[#This Row],[Nummer]],_Diplom,$AG$6,FALSE)</f>
        <v/>
      </c>
      <c r="AH7" s="254" t="str">
        <f>VLOOKUP(AuswDipl0[[#This Row],[Nummer]],_Diplom,$AH$6,FALSE)</f>
        <v/>
      </c>
      <c r="AI7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7" s="254" t="str">
        <f ca="1">VLOOKUP(AuswDipl0[[#This Row],[Nummer]],_Diplom,$AJ$6,FALSE)</f>
        <v/>
      </c>
      <c r="AK7" s="254" t="str">
        <f ca="1">IF(AuswDipl0[[#This Row],[ZwGe_Höchst]]&lt;&gt;"",VLOOKUP(AuswDipl0[[#This Row],[Nummer]],_Diplom,$AK$6,FALSE),VLOOKUP(AuswDipl0[[#This Row],[Nummer]],_Diplom,$AK$6,FALSE))</f>
        <v>Zweites Gerät</v>
      </c>
      <c r="AL7" s="254" t="str">
        <f ca="1">VLOOKUP(AuswDipl0[[#This Row],[Nummer]],_Diplom,$AL$6,FALSE)</f>
        <v>nicht durchgeführt</v>
      </c>
      <c r="AM7" s="254" t="str">
        <f ca="1">IF(AuswDipl0[[#This Row],[ZwGe_Höchst]]&lt;&gt;"",AuswDipl0[[#This Row],[ZwGe_Höchst]],AuswDipl0[[#This Row],[ZwGe_Txt2]])</f>
        <v>nicht durchgeführt</v>
      </c>
      <c r="AN7" s="254" t="str">
        <f ca="1">VLOOKUP(AuswDipl0[[#This Row],[Nummer]],_Diplom,$AN$6,FALSE)</f>
        <v/>
      </c>
      <c r="AO7" s="254" t="str">
        <f>VLOOKUP(AuswDipl0[[#This Row],[Nummer]],_Diplom,$AO$6,FALSE)</f>
        <v/>
      </c>
      <c r="AP7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7" s="254" t="str">
        <f ca="1">VLOOKUP(AuswDipl0[[#This Row],[Nummer]],_Diplom,$AQ$6,FALSE)</f>
        <v/>
      </c>
      <c r="AR7" s="254" t="str">
        <f ca="1">IF(AuswDipl0[[#This Row],[DrGe_Höchst]]&lt;&gt;"",VLOOKUP(AuswDipl0[[#This Row],[Nummer]],_Diplom,$AR$6,FALSE),VLOOKUP(AuswDipl0[[#This Row],[Nummer]],_Diplom,$AR$6,FALSE))</f>
        <v>Drittes Gerät</v>
      </c>
      <c r="AS7" s="254" t="str">
        <f ca="1">VLOOKUP(AuswDipl0[[#This Row],[Nummer]],_Diplom,$AS$6,FALSE)</f>
        <v>nicht durchgeführt</v>
      </c>
      <c r="AT7" s="254" t="str">
        <f ca="1">IF(AuswDipl0[[#This Row],[DrGe_Höchst]]&lt;&gt;"",AuswDipl0[[#This Row],[DrGe_Höchst]],AuswDipl0[[#This Row],[DrGe_Txt2]])</f>
        <v>nicht durchgeführt</v>
      </c>
      <c r="AU7" s="254" t="str">
        <f ca="1">VLOOKUP(AuswDipl0[[#This Row],[Nummer]],_Diplom,$AU$6,FALSE)</f>
        <v/>
      </c>
      <c r="AV7" s="254" t="str">
        <f>VLOOKUP(AuswDipl0[[#This Row],[Nummer]],_Diplom,$AV$6,FALSE)</f>
        <v/>
      </c>
      <c r="AW7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7" s="254" t="str">
        <f ca="1">VLOOKUP(AuswDipl0[[#This Row],[Nummer]],_Diplom,$AX$6,FALSE)</f>
        <v/>
      </c>
      <c r="AY7" s="254" t="str">
        <f>$AY$1</f>
        <v>Parkour</v>
      </c>
      <c r="AZ7" s="254">
        <f ca="1">INDEX(INDIRECT($AZ$2),AuswDipl0[[#This Row],[Nummer]])</f>
        <v>0</v>
      </c>
      <c r="BA7" s="254" t="str">
        <f ca="1">IFERROR(IF(AuswDipl0[[#This Row],[ParkourPkte0]]&gt;0," "&amp;INDEX(INDIRECT($BA$2),MATCH($AY$1,INDIRECT($A$2),0)),""),"")</f>
        <v/>
      </c>
      <c r="BB7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7" s="254" t="str">
        <f ca="1">IF(AuswDipl0[[#This Row],[ParkourMax]]&lt;&gt;"",AuswDipl0[[#This Row],[ParkourMax]],Stammdaten!$AY$27)</f>
        <v>nicht durchgeführt</v>
      </c>
      <c r="BD7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7" s="254" t="str">
        <f ca="1">IF(AuswDipl0[[#This Row],[ParkourPkte1]]="","",VLOOKUP(AuswDipl0[[#This Row],[Nummer]],_Diplom,BE$6,FALSE))</f>
        <v/>
      </c>
      <c r="BF7" s="254" t="str">
        <f ca="1">VLOOKUP(AuswDipl0[[#This Row],[Nummer]],_Diplom,BF$6,FALSE)</f>
        <v>Darstellen und Tanzen</v>
      </c>
      <c r="BG7" s="254" t="str">
        <f ca="1">VLOOKUP(AuswDipl0[[#This Row],[Nummer]],_Diplom,BG$6,FALSE)</f>
        <v>nicht durchgeführt</v>
      </c>
      <c r="BH7" s="254" t="str">
        <f ca="1">IF(AuswDipl0[[#This Row],[BS_3_Max]]&lt;&gt;"",AuswDipl0[[#This Row],[BS_3_Max]],AuswDipl0[[#This Row],[BS_3_Txt1]])</f>
        <v>nicht durchgeführt</v>
      </c>
      <c r="BI7" s="254" t="str">
        <f ca="1">IF(VLOOKUP(AuswDipl0[[#This Row],[Nummer]],_Diplom,BI$6,FALSE)="","",VLOOKUP(AuswDipl0[[#This Row],[Nummer]],_Diplom,BI$6,FALSE))</f>
        <v/>
      </c>
      <c r="BJ7" s="254" t="str">
        <f ca="1">IF(AuswDipl0[[#This Row],[BS_3_Txt1]]=Stammdaten!$AX$19,AuswDipl0[[#This Row],[BS_3_Txt1]],AuswDipl0[[#This Row],[BS_3_Pkte0]]&amp;AuswDipl0[[#This Row],[BS_3_Mass]])</f>
        <v/>
      </c>
      <c r="BK7" s="254" t="str">
        <f ca="1">IFERROR(" "&amp;INDEX(INDIRECT($BK$2),MATCH(AuswDipl0[[#This Row],[BS_3_Txt0]],INDIRECT($A$2),0)),"")</f>
        <v/>
      </c>
      <c r="BL7" s="254" t="str">
        <f ca="1">VLOOKUP(AuswDipl0[[#This Row],[Nummer]],_Diplom,BL$6,FALSE)</f>
        <v/>
      </c>
      <c r="BM7" s="254" t="str">
        <f ca="1">IF(AuswDipl0[[#This Row],[ErSp_Höchst]]&lt;&gt;"",VLOOKUP(AuswDipl0[[#This Row],[Nummer]],_Diplom,$BM$6,FALSE),VLOOKUP(AuswDipl0[[#This Row],[Nummer]],_Diplom,$BM$6,FALSE))</f>
        <v>Erste Spielsportart</v>
      </c>
      <c r="BN7" s="254" t="str">
        <f ca="1">VLOOKUP(AuswDipl0[[#This Row],[Nummer]],_Diplom,$BN$6,FALSE)</f>
        <v>nicht durchgeführt</v>
      </c>
      <c r="BO7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7" s="254" t="str">
        <f ca="1">VLOOKUP(AuswDipl0[[#This Row],[Nummer]],_Diplom,$BP$6,FALSE)</f>
        <v/>
      </c>
      <c r="BQ7" s="254" t="str">
        <f ca="1">VLOOKUP(AuswDipl0[[#This Row],[Nummer]],_Diplom,$BQ$6,FALSE)</f>
        <v/>
      </c>
      <c r="BR7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7" s="254" t="str">
        <f ca="1">VLOOKUP(AuswDipl0[[#This Row],[Nummer]],_Diplom,$BS$6,FALSE)</f>
        <v/>
      </c>
      <c r="BT7" s="254" t="str">
        <f ca="1">VLOOKUP(AuswDipl0[[#This Row],[Nummer]],_Diplom,$BT$6,FALSE)</f>
        <v/>
      </c>
      <c r="BU7" s="254" t="str">
        <f ca="1">IF(AuswDipl0[[#This Row],[ZwSp_Höchst]]&lt;&gt;"",VLOOKUP(AuswDipl0[[#This Row],[Nummer]],_Diplom,$BU$6,FALSE),VLOOKUP(AuswDipl0[[#This Row],[Nummer]],_Diplom,$BU$6,FALSE))</f>
        <v>Zweite Spielsportart</v>
      </c>
      <c r="BV7" s="254" t="str">
        <f ca="1">VLOOKUP(AuswDipl0[[#This Row],[Nummer]],_Diplom,$BV$6,FALSE)</f>
        <v>nicht durchgeführt</v>
      </c>
      <c r="BW7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7" s="254" t="str">
        <f ca="1">VLOOKUP(AuswDipl0[[#This Row],[Nummer]],_Diplom,$BX$6,FALSE)</f>
        <v/>
      </c>
      <c r="BY7" s="254" t="str">
        <f ca="1">VLOOKUP(AuswDipl0[[#This Row],[Nummer]],_Diplom,$BY$6,FALSE)</f>
        <v/>
      </c>
      <c r="BZ7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7" s="254" t="str">
        <f ca="1">VLOOKUP(AuswDipl0[[#This Row],[Nummer]],_Diplom,$CA$6,FALSE)</f>
        <v/>
      </c>
      <c r="CB7" s="254" t="str">
        <f ca="1">VLOOKUP(AuswDipl0[[#This Row],[Nummer]],_Diplom,$CB$6,FALSE)</f>
        <v/>
      </c>
      <c r="CC7" s="254" t="str">
        <f ca="1">IF(AuswDipl0[[#This Row],[DrSp_Höchst]]&lt;&gt;"",VLOOKUP(AuswDipl0[[#This Row],[Nummer]],_Diplom,$CC$6,FALSE),VLOOKUP(AuswDipl0[[#This Row],[Nummer]],_Diplom,$CC$6,FALSE))</f>
        <v>Dritte Spielsportart</v>
      </c>
      <c r="CD7" s="254" t="str">
        <f ca="1">VLOOKUP(AuswDipl0[[#This Row],[Nummer]],_Diplom,$CD$6,FALSE)</f>
        <v>nicht durchgeführt</v>
      </c>
      <c r="CE7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7" s="254" t="str">
        <f ca="1">VLOOKUP(AuswDipl0[[#This Row],[Nummer]],_Diplom,$CF$6,FALSE)</f>
        <v/>
      </c>
      <c r="CG7" s="254" t="str">
        <f ca="1">VLOOKUP(AuswDipl0[[#This Row],[Nummer]],_Diplom,$CG$6,FALSE)</f>
        <v/>
      </c>
      <c r="CH7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7" s="254" t="str">
        <f ca="1">VLOOKUP(AuswDipl0[[#This Row],[Nummer]],_Diplom,$CI$6,FALSE)</f>
        <v/>
      </c>
      <c r="CJ7" s="254" t="str">
        <f ca="1">VLOOKUP(AuswDipl0[[#This Row],[Nummer]],_Diplom,$CJ$6,FALSE)</f>
        <v/>
      </c>
      <c r="CK7" s="254" t="str">
        <f ca="1">VLOOKUP(AuswDipl0[[#This Row],[Nummer]],_Diplom,CK$6,FALSE)</f>
        <v>Zu wenige Noten</v>
      </c>
      <c r="CL7" s="254">
        <f ca="1">VLOOKUP(AuswDipl0[[#This Row],[Nummer]],_Diplom,CL$6,FALSE)</f>
        <v>0</v>
      </c>
      <c r="CM7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7" s="254">
        <f ca="1">IFERROR(INDEX(INDIRECT($CN$4),MATCH(AuswDipl0[[#This Row],[BS_1_Med]],INDIRECT($CN$3),0)),6)</f>
        <v>6</v>
      </c>
      <c r="CO7" s="254" t="str">
        <f ca="1">VLOOKUP(AuswDipl0[[#This Row],[Nummer]],_Diplom,CO$6,FALSE)</f>
        <v>Zu wenige Noten</v>
      </c>
      <c r="CP7" s="254">
        <f>VLOOKUP(AuswDipl0[[#This Row],[Nummer]],_Diplom,CP$6,FALSE)</f>
        <v>0</v>
      </c>
      <c r="CQ7" s="254">
        <f ca="1">VLOOKUP(AuswDipl0[[#This Row],[Nummer]],_Diplom,CQ$6,FALSE)</f>
        <v>0</v>
      </c>
      <c r="CR7" s="254">
        <f ca="1">IF(AND(AuswDipl0[[#This Row],[BS_2_AnzGer]]&gt;=$CP$2,AND(ISNUMBER(AuswDipl0[[#This Row],[BS_2_Park]]),AuswDipl0[[#This Row],[BS_2_Park]]&gt;0)),1,0)</f>
        <v>0</v>
      </c>
      <c r="CS7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7" s="254">
        <f ca="1">IFERROR(INDEX(INDIRECT($CT$4),MATCH(AuswDipl0[[#This Row],[BS_2_Med]],INDIRECT($CT$3),0)),6)</f>
        <v>6</v>
      </c>
      <c r="CU7" s="254" t="str">
        <f ca="1">VLOOKUP(AuswDipl0[[#This Row],[Nummer]],_Diplom,CU$6,FALSE)</f>
        <v>Zu wenige Noten</v>
      </c>
      <c r="CV7" s="254">
        <f ca="1">IF(AuswDipl0[[#This Row],[BS_3_Erg]]=INDEX(StdFehler[StdFehler],4),0,IF(AuswDipl0[[#This Row],[BS_3_Erg]]=Stammdaten!$AX$19,Stammdaten!$AX$19,VALUE(AuswDipl0[[#This Row],[BS_3_Erg]])))</f>
        <v>0</v>
      </c>
      <c r="CW7" s="254" t="str">
        <f ca="1">IF(AuswDipl0[[#This Row],[BS_3_x]]=0,"",INDEX(INDIRECT(CW$4),MATCH(AuswDipl0[[#This Row],[BS_3_x]],INDIRECT(CW$3),0)))</f>
        <v/>
      </c>
      <c r="CX7" s="254">
        <f ca="1">IFERROR(INDEX(INDIRECT($CX$4),MATCH(AuswDipl0[[#This Row],[BS_3_Med]],INDIRECT($CX$3),0)),6)</f>
        <v>6</v>
      </c>
      <c r="CY7" s="254" t="str">
        <f ca="1">VLOOKUP(AuswDipl0[[#This Row],[Nummer]],_Diplom,CY$6,FALSE)</f>
        <v>Zu wenige Noten</v>
      </c>
      <c r="CZ7" s="254">
        <f ca="1">VLOOKUP(AuswDipl0[[#This Row],[Nummer]],_Diplom,CZ$6,FALSE)</f>
        <v>0</v>
      </c>
      <c r="DA7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7" s="254">
        <f ca="1">IFERROR(INDEX(INDIRECT($DB$4),MATCH(AuswDipl0[[#This Row],[BS_4_Med]],INDIRECT($DB$3),0)),6)</f>
        <v>6</v>
      </c>
    </row>
    <row r="8" spans="1:106" ht="12" customHeight="1" x14ac:dyDescent="0.25">
      <c r="A8" s="254">
        <v>2</v>
      </c>
      <c r="B8" s="254" t="str">
        <f ca="1">VLOOKUP(AuswDipl0[[#This Row],[Nummer]],_Diplom,B$6,FALSE)</f>
        <v>Sprintdisziplinen nicht durchgeführt</v>
      </c>
      <c r="C8" s="254" t="str">
        <f ca="1">IFERROR(VLOOKUP(AuswDipl0[[#This Row],[Sprint0]],INDIRECT($A$2),1,0),$B$4)</f>
        <v>Sprintdisziplinen</v>
      </c>
      <c r="D8" s="254" t="str">
        <f ca="1">IF(AuswDipl0[[#This Row],[Sprint00]]=$B$4,MID(AuswDipl0[[#This Row],[Sprint0]],FIND(" ",AuswDipl0[[#This Row],[Sprint0]],1)+1,LEN(AuswDipl0[[#This Row],[Sprint0]])),"")</f>
        <v>nicht durchgeführt</v>
      </c>
      <c r="E8" s="254" t="str">
        <f ca="1">IF(AuswDipl0[[#This Row],[Sprint000]]=Stammdaten!$AY$27,AuswDipl0[[#This Row],[Sprint000]],"")</f>
        <v>nicht durchgeführt</v>
      </c>
      <c r="F8" s="254" t="str">
        <f ca="1">IF(VLOOKUP(AuswDipl0[[#This Row],[Nummer]],_Diplom,F$6,FALSE)="",""," "&amp;VLOOKUP(AuswDipl0[[#This Row],[Nummer]],_Diplom,F$6,FALSE))</f>
        <v/>
      </c>
      <c r="G8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8" s="254" t="str">
        <f ca="1">IF(VLOOKUP(AuswDipl0[[#This Row],[Nummer]],_Diplom,H$6,FALSE)&lt;&gt;"","("&amp;VLOOKUP(AuswDipl0[[#This Row],[Nummer]],_Diplom,H$6,FALSE)&amp;")","")</f>
        <v/>
      </c>
      <c r="I8" s="254" t="str">
        <f ca="1">VLOOKUP(AuswDipl0[[#This Row],[Nummer]],_Diplom,I$6,FALSE)</f>
        <v>Ausdauerdisziplinen nicht durchgeführt</v>
      </c>
      <c r="J8" s="254" t="str">
        <f ca="1">IFERROR(VLOOKUP(AuswDipl0[[#This Row],[Ausdauer0]],INDIRECT($A$2),1,0),$I$4)</f>
        <v>Ausdauerdisziplinen</v>
      </c>
      <c r="K8" s="254" t="str">
        <f ca="1">IF(AuswDipl0[[#This Row],[Ausdauer00]]=$I$4,MID(AuswDipl0[[#This Row],[Ausdauer0]],FIND(" ",AuswDipl0[[#This Row],[Ausdauer0]],1)+1,LEN(AuswDipl0[[#This Row],[Ausdauer0]])),"")</f>
        <v>nicht durchgeführt</v>
      </c>
      <c r="L8" s="254" t="str">
        <f ca="1">IF(AuswDipl0[[#This Row],[Ausdauer000]]=Stammdaten!$AY$27,AuswDipl0[[#This Row],[Ausdauer000]],"")</f>
        <v>nicht durchgeführt</v>
      </c>
      <c r="M8" s="254" t="str">
        <f ca="1">IF(VLOOKUP(AuswDipl0[[#This Row],[Nummer]],_Diplom,M$6,FALSE)="",""," "&amp;VLOOKUP(AuswDipl0[[#This Row],[Nummer]],_Diplom,M$6,FALSE))</f>
        <v/>
      </c>
      <c r="N8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8" s="254" t="str">
        <f ca="1">IF(VLOOKUP(AuswDipl0[[#This Row],[Nummer]],_Diplom,O$6,FALSE)&lt;&gt;"","("&amp;VLOOKUP(AuswDipl0[[#This Row],[Nummer]],_Diplom,O$6,FALSE)&amp;")","")</f>
        <v/>
      </c>
      <c r="P8" s="254" t="str">
        <f ca="1">VLOOKUP(AuswDipl0[[#This Row],[Nummer]],_Diplom,P$6,FALSE)</f>
        <v>Sprungdisziplinen nicht durchgeführt</v>
      </c>
      <c r="Q8" s="254" t="str">
        <f ca="1">IFERROR(VLOOKUP(AuswDipl0[[#This Row],[Sprung0]],INDIRECT($A$2),1,0),$P$4)</f>
        <v>Sprungdisziplinen</v>
      </c>
      <c r="R8" s="254" t="str">
        <f ca="1">IF(AuswDipl0[[#This Row],[Sprung00]]=$P$4,MID(AuswDipl0[[#This Row],[Sprung0]],FIND(" ",AuswDipl0[[#This Row],[Sprung0]],1)+1,LEN(AuswDipl0[[#This Row],[Sprung0]])),"")</f>
        <v>nicht durchgeführt</v>
      </c>
      <c r="S8" s="254" t="str">
        <f ca="1">IF(AuswDipl0[[#This Row],[Sprung000]]=Stammdaten!$AY$27,AuswDipl0[[#This Row],[Sprung000]],"")</f>
        <v>nicht durchgeführt</v>
      </c>
      <c r="T8" s="254" t="str">
        <f ca="1">IF(VLOOKUP(AuswDipl0[[#This Row],[Nummer]],_Diplom,T$6,FALSE)="",""," "&amp;VLOOKUP(AuswDipl0[[#This Row],[Nummer]],_Diplom,T$6,FALSE))</f>
        <v/>
      </c>
      <c r="U8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8" s="254" t="str">
        <f ca="1">IF(VLOOKUP(AuswDipl0[[#This Row],[Nummer]],_Diplom,V$6,FALSE)&lt;&gt;"","("&amp;VLOOKUP(AuswDipl0[[#This Row],[Nummer]],_Diplom,V$6,FALSE)&amp;")","")</f>
        <v/>
      </c>
      <c r="W8" s="254" t="str">
        <f ca="1">VLOOKUP(AuswDipl0[[#This Row],[Nummer]],_Diplom,W$6,FALSE)</f>
        <v>Wurfdisziplinen nicht durchgeführt</v>
      </c>
      <c r="X8" s="254" t="str">
        <f ca="1">IFERROR(VLOOKUP(AuswDipl0[[#This Row],[Wurf0]],INDIRECT($A$2),1,0),$W$4)</f>
        <v>Wurfdisziplinen</v>
      </c>
      <c r="Y8" s="254" t="str">
        <f ca="1">IF(AuswDipl0[[#This Row],[Wurf00]]=$W$4,MID(AuswDipl0[[#This Row],[Wurf0]],FIND(" ",AuswDipl0[[#This Row],[Wurf0]],1)+1,LEN(AuswDipl0[[#This Row],[Wurf0]])),"")</f>
        <v>nicht durchgeführt</v>
      </c>
      <c r="Z8" s="254" t="str">
        <f ca="1">IF(AuswDipl0[[#This Row],[Wurf000]]=Stammdaten!$AY$27,AuswDipl0[[#This Row],[Wurf000]],"")</f>
        <v>nicht durchgeführt</v>
      </c>
      <c r="AA8" s="254" t="str">
        <f ca="1">IF(VLOOKUP(AuswDipl0[[#This Row],[Nummer]],_Diplom,AA$6,FALSE)="",""," "&amp;VLOOKUP(AuswDipl0[[#This Row],[Nummer]],_Diplom,AA$6,FALSE))</f>
        <v/>
      </c>
      <c r="AB8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8" s="254" t="str">
        <f ca="1">IF(VLOOKUP(AuswDipl0[[#This Row],[Nummer]],_Diplom,AC$6,FALSE)&lt;&gt;"","("&amp;VLOOKUP(AuswDipl0[[#This Row],[Nummer]],_Diplom,AC$6,FALSE)&amp;")","")</f>
        <v/>
      </c>
      <c r="AD8" s="254" t="str">
        <f ca="1">IF(AuswDipl0[[#This Row],[ErGe_Höchst]]&lt;&gt;"",VLOOKUP(AuswDipl0[[#This Row],[Nummer]],_Diplom,$AD$6,FALSE),VLOOKUP(AuswDipl0[[#This Row],[Nummer]],_Diplom,$AD$6,FALSE))</f>
        <v>Erstes Gerät</v>
      </c>
      <c r="AE8" s="254" t="str">
        <f ca="1">VLOOKUP(AuswDipl0[[#This Row],[Nummer]],_Diplom,$AE$6,FALSE)</f>
        <v>nicht durchgeführt</v>
      </c>
      <c r="AF8" s="254" t="str">
        <f ca="1">IF(AuswDipl0[[#This Row],[ErGe_Höchst]]&lt;&gt;"",AuswDipl0[[#This Row],[ErGe_Höchst]],AuswDipl0[[#This Row],[ErGe_Txt2]])</f>
        <v>nicht durchgeführt</v>
      </c>
      <c r="AG8" s="254" t="str">
        <f ca="1">VLOOKUP(AuswDipl0[[#This Row],[Nummer]],_Diplom,$AG$6,FALSE)</f>
        <v/>
      </c>
      <c r="AH8" s="254" t="str">
        <f>VLOOKUP(AuswDipl0[[#This Row],[Nummer]],_Diplom,$AH$6,FALSE)</f>
        <v/>
      </c>
      <c r="AI8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8" s="254" t="str">
        <f ca="1">VLOOKUP(AuswDipl0[[#This Row],[Nummer]],_Diplom,$AJ$6,FALSE)</f>
        <v/>
      </c>
      <c r="AK8" s="254" t="str">
        <f ca="1">IF(AuswDipl0[[#This Row],[ZwGe_Höchst]]&lt;&gt;"",VLOOKUP(AuswDipl0[[#This Row],[Nummer]],_Diplom,$AK$6,FALSE),VLOOKUP(AuswDipl0[[#This Row],[Nummer]],_Diplom,$AK$6,FALSE))</f>
        <v>Zweites Gerät</v>
      </c>
      <c r="AL8" s="254" t="str">
        <f ca="1">VLOOKUP(AuswDipl0[[#This Row],[Nummer]],_Diplom,$AL$6,FALSE)</f>
        <v>nicht durchgeführt</v>
      </c>
      <c r="AM8" s="254" t="str">
        <f ca="1">IF(AuswDipl0[[#This Row],[ZwGe_Höchst]]&lt;&gt;"",AuswDipl0[[#This Row],[ZwGe_Höchst]],AuswDipl0[[#This Row],[ZwGe_Txt2]])</f>
        <v>nicht durchgeführt</v>
      </c>
      <c r="AN8" s="254" t="str">
        <f ca="1">VLOOKUP(AuswDipl0[[#This Row],[Nummer]],_Diplom,$AN$6,FALSE)</f>
        <v/>
      </c>
      <c r="AO8" s="254" t="str">
        <f>VLOOKUP(AuswDipl0[[#This Row],[Nummer]],_Diplom,$AO$6,FALSE)</f>
        <v/>
      </c>
      <c r="AP8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8" s="254" t="str">
        <f ca="1">VLOOKUP(AuswDipl0[[#This Row],[Nummer]],_Diplom,$AQ$6,FALSE)</f>
        <v/>
      </c>
      <c r="AR8" s="254" t="str">
        <f ca="1">IF(AuswDipl0[[#This Row],[DrGe_Höchst]]&lt;&gt;"",VLOOKUP(AuswDipl0[[#This Row],[Nummer]],_Diplom,$AR$6,FALSE),VLOOKUP(AuswDipl0[[#This Row],[Nummer]],_Diplom,$AR$6,FALSE))</f>
        <v>Drittes Gerät</v>
      </c>
      <c r="AS8" s="254" t="str">
        <f ca="1">VLOOKUP(AuswDipl0[[#This Row],[Nummer]],_Diplom,$AS$6,FALSE)</f>
        <v>nicht durchgeführt</v>
      </c>
      <c r="AT8" s="254" t="str">
        <f ca="1">IF(AuswDipl0[[#This Row],[DrGe_Höchst]]&lt;&gt;"",AuswDipl0[[#This Row],[DrGe_Höchst]],AuswDipl0[[#This Row],[DrGe_Txt2]])</f>
        <v>nicht durchgeführt</v>
      </c>
      <c r="AU8" s="254" t="str">
        <f ca="1">VLOOKUP(AuswDipl0[[#This Row],[Nummer]],_Diplom,$AU$6,FALSE)</f>
        <v/>
      </c>
      <c r="AV8" s="254" t="str">
        <f>VLOOKUP(AuswDipl0[[#This Row],[Nummer]],_Diplom,$AV$6,FALSE)</f>
        <v/>
      </c>
      <c r="AW8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8" s="254" t="str">
        <f ca="1">VLOOKUP(AuswDipl0[[#This Row],[Nummer]],_Diplom,$AX$6,FALSE)</f>
        <v/>
      </c>
      <c r="AY8" s="254" t="str">
        <f t="shared" ref="AY8:AY36" si="0">$AY$1</f>
        <v>Parkour</v>
      </c>
      <c r="AZ8" s="254">
        <f ca="1">INDEX(INDIRECT($AZ$2),AuswDipl0[[#This Row],[Nummer]])</f>
        <v>0</v>
      </c>
      <c r="BA8" s="254" t="str">
        <f ca="1">IFERROR(IF(AuswDipl0[[#This Row],[ParkourPkte0]]&gt;0," "&amp;INDEX(INDIRECT($BA$2),MATCH($AY$1,INDIRECT($A$2),0)),""),"")</f>
        <v/>
      </c>
      <c r="BB8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8" s="254" t="str">
        <f ca="1">IF(AuswDipl0[[#This Row],[ParkourMax]]&lt;&gt;"",AuswDipl0[[#This Row],[ParkourMax]],Stammdaten!$AY$27)</f>
        <v>nicht durchgeführt</v>
      </c>
      <c r="BD8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8" s="254" t="str">
        <f ca="1">IF(AuswDipl0[[#This Row],[ParkourPkte1]]="","",VLOOKUP(AuswDipl0[[#This Row],[Nummer]],_Diplom,BE$6,FALSE))</f>
        <v/>
      </c>
      <c r="BF8" s="254" t="str">
        <f ca="1">VLOOKUP(AuswDipl0[[#This Row],[Nummer]],_Diplom,BF$6,FALSE)</f>
        <v>Darstellen und Tanzen</v>
      </c>
      <c r="BG8" s="254" t="str">
        <f ca="1">VLOOKUP(AuswDipl0[[#This Row],[Nummer]],_Diplom,BG$6,FALSE)</f>
        <v>nicht durchgeführt</v>
      </c>
      <c r="BH8" s="254" t="str">
        <f ca="1">IF(AuswDipl0[[#This Row],[BS_3_Max]]&lt;&gt;"",AuswDipl0[[#This Row],[BS_3_Max]],AuswDipl0[[#This Row],[BS_3_Txt1]])</f>
        <v>nicht durchgeführt</v>
      </c>
      <c r="BI8" s="254" t="str">
        <f ca="1">IF(VLOOKUP(AuswDipl0[[#This Row],[Nummer]],_Diplom,BI$6,FALSE)="","",VLOOKUP(AuswDipl0[[#This Row],[Nummer]],_Diplom,BI$6,FALSE))</f>
        <v/>
      </c>
      <c r="BJ8" s="254" t="str">
        <f ca="1">IF(AuswDipl0[[#This Row],[BS_3_Txt1]]=Stammdaten!$AX$19,AuswDipl0[[#This Row],[BS_3_Txt1]],AuswDipl0[[#This Row],[BS_3_Pkte0]]&amp;AuswDipl0[[#This Row],[BS_3_Mass]])</f>
        <v/>
      </c>
      <c r="BK8" s="254" t="str">
        <f ca="1">IFERROR(" "&amp;INDEX(INDIRECT($BK$2),MATCH(AuswDipl0[[#This Row],[BS_3_Txt0]],INDIRECT($A$2),0)),"")</f>
        <v/>
      </c>
      <c r="BL8" s="254" t="str">
        <f ca="1">VLOOKUP(AuswDipl0[[#This Row],[Nummer]],_Diplom,BL$6,FALSE)</f>
        <v/>
      </c>
      <c r="BM8" s="254" t="str">
        <f ca="1">IF(AuswDipl0[[#This Row],[ErSp_Höchst]]&lt;&gt;"",VLOOKUP(AuswDipl0[[#This Row],[Nummer]],_Diplom,$BM$6,FALSE),VLOOKUP(AuswDipl0[[#This Row],[Nummer]],_Diplom,$BM$6,FALSE))</f>
        <v>Erste Spielsportart</v>
      </c>
      <c r="BN8" s="254" t="str">
        <f ca="1">VLOOKUP(AuswDipl0[[#This Row],[Nummer]],_Diplom,$BN$6,FALSE)</f>
        <v>nicht durchgeführt</v>
      </c>
      <c r="BO8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8" s="254" t="str">
        <f ca="1">VLOOKUP(AuswDipl0[[#This Row],[Nummer]],_Diplom,$BP$6,FALSE)</f>
        <v/>
      </c>
      <c r="BQ8" s="254" t="str">
        <f ca="1">VLOOKUP(AuswDipl0[[#This Row],[Nummer]],_Diplom,$BQ$6,FALSE)</f>
        <v/>
      </c>
      <c r="BR8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8" s="254" t="str">
        <f ca="1">VLOOKUP(AuswDipl0[[#This Row],[Nummer]],_Diplom,$BS$6,FALSE)</f>
        <v/>
      </c>
      <c r="BT8" s="254" t="str">
        <f ca="1">VLOOKUP(AuswDipl0[[#This Row],[Nummer]],_Diplom,$BT$6,FALSE)</f>
        <v/>
      </c>
      <c r="BU8" s="254" t="str">
        <f ca="1">IF(AuswDipl0[[#This Row],[ZwSp_Höchst]]&lt;&gt;"",VLOOKUP(AuswDipl0[[#This Row],[Nummer]],_Diplom,$BU$6,FALSE),VLOOKUP(AuswDipl0[[#This Row],[Nummer]],_Diplom,$BU$6,FALSE))</f>
        <v>Zweite Spielsportart</v>
      </c>
      <c r="BV8" s="254" t="str">
        <f ca="1">VLOOKUP(AuswDipl0[[#This Row],[Nummer]],_Diplom,$BV$6,FALSE)</f>
        <v>nicht durchgeführt</v>
      </c>
      <c r="BW8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8" s="254" t="str">
        <f ca="1">VLOOKUP(AuswDipl0[[#This Row],[Nummer]],_Diplom,$BX$6,FALSE)</f>
        <v/>
      </c>
      <c r="BY8" s="254" t="str">
        <f ca="1">VLOOKUP(AuswDipl0[[#This Row],[Nummer]],_Diplom,$BY$6,FALSE)</f>
        <v/>
      </c>
      <c r="BZ8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8" s="254" t="str">
        <f ca="1">VLOOKUP(AuswDipl0[[#This Row],[Nummer]],_Diplom,$CA$6,FALSE)</f>
        <v/>
      </c>
      <c r="CB8" s="254" t="str">
        <f ca="1">VLOOKUP(AuswDipl0[[#This Row],[Nummer]],_Diplom,$CB$6,FALSE)</f>
        <v/>
      </c>
      <c r="CC8" s="254" t="str">
        <f ca="1">IF(AuswDipl0[[#This Row],[DrSp_Höchst]]&lt;&gt;"",VLOOKUP(AuswDipl0[[#This Row],[Nummer]],_Diplom,$CC$6,FALSE),VLOOKUP(AuswDipl0[[#This Row],[Nummer]],_Diplom,$CC$6,FALSE))</f>
        <v>Dritte Spielsportart</v>
      </c>
      <c r="CD8" s="254" t="str">
        <f ca="1">VLOOKUP(AuswDipl0[[#This Row],[Nummer]],_Diplom,$CD$6,FALSE)</f>
        <v>nicht durchgeführt</v>
      </c>
      <c r="CE8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8" s="254" t="str">
        <f ca="1">VLOOKUP(AuswDipl0[[#This Row],[Nummer]],_Diplom,$CF$6,FALSE)</f>
        <v/>
      </c>
      <c r="CG8" s="254" t="str">
        <f ca="1">VLOOKUP(AuswDipl0[[#This Row],[Nummer]],_Diplom,$CG$6,FALSE)</f>
        <v/>
      </c>
      <c r="CH8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8" s="254" t="str">
        <f ca="1">VLOOKUP(AuswDipl0[[#This Row],[Nummer]],_Diplom,$CI$6,FALSE)</f>
        <v/>
      </c>
      <c r="CJ8" s="254" t="str">
        <f ca="1">VLOOKUP(AuswDipl0[[#This Row],[Nummer]],_Diplom,$CJ$6,FALSE)</f>
        <v/>
      </c>
      <c r="CK8" s="254" t="str">
        <f ca="1">VLOOKUP(AuswDipl0[[#This Row],[Nummer]],_Diplom,CK$6,FALSE)</f>
        <v>Zu wenige Noten</v>
      </c>
      <c r="CL8" s="254">
        <f ca="1">VLOOKUP(AuswDipl0[[#This Row],[Nummer]],_Diplom,CL$6,FALSE)</f>
        <v>0</v>
      </c>
      <c r="CM8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8" s="254">
        <f ca="1">IFERROR(INDEX(INDIRECT($CN$4),MATCH(AuswDipl0[[#This Row],[BS_1_Med]],INDIRECT($CN$3),0)),6)</f>
        <v>6</v>
      </c>
      <c r="CO8" s="254" t="str">
        <f ca="1">VLOOKUP(AuswDipl0[[#This Row],[Nummer]],_Diplom,CO$6,FALSE)</f>
        <v>Zu wenige Noten</v>
      </c>
      <c r="CP8" s="254">
        <f>VLOOKUP(AuswDipl0[[#This Row],[Nummer]],_Diplom,CP$6,FALSE)</f>
        <v>0</v>
      </c>
      <c r="CQ8" s="254">
        <f ca="1">VLOOKUP(AuswDipl0[[#This Row],[Nummer]],_Diplom,CQ$6,FALSE)</f>
        <v>0</v>
      </c>
      <c r="CR8" s="254">
        <f ca="1">IF(AND(AuswDipl0[[#This Row],[BS_2_AnzGer]]&gt;=$CP$2,AND(ISNUMBER(AuswDipl0[[#This Row],[BS_2_Park]]),AuswDipl0[[#This Row],[BS_2_Park]]&gt;0)),1,0)</f>
        <v>0</v>
      </c>
      <c r="CS8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8" s="254">
        <f ca="1">IFERROR(INDEX(INDIRECT($CT$4),MATCH(AuswDipl0[[#This Row],[BS_2_Med]],INDIRECT($CT$3),0)),6)</f>
        <v>6</v>
      </c>
      <c r="CU8" s="254" t="str">
        <f ca="1">VLOOKUP(AuswDipl0[[#This Row],[Nummer]],_Diplom,CU$6,FALSE)</f>
        <v>Zu wenige Noten</v>
      </c>
      <c r="CV8" s="254">
        <f ca="1">IF(AuswDipl0[[#This Row],[BS_3_Erg]]=INDEX(StdFehler[StdFehler],4),0,IF(AuswDipl0[[#This Row],[BS_3_Erg]]=Stammdaten!$AX$19,Stammdaten!$AX$19,VALUE(AuswDipl0[[#This Row],[BS_3_Erg]])))</f>
        <v>0</v>
      </c>
      <c r="CW8" s="254" t="str">
        <f ca="1">IF(AuswDipl0[[#This Row],[BS_3_x]]=0,"",INDEX(INDIRECT(CW$4),MATCH(AuswDipl0[[#This Row],[BS_3_x]],INDIRECT(CW$3),0)))</f>
        <v/>
      </c>
      <c r="CX8" s="254">
        <f ca="1">IFERROR(INDEX(INDIRECT($CX$4),MATCH(AuswDipl0[[#This Row],[BS_3_Med]],INDIRECT($CX$3),0)),6)</f>
        <v>6</v>
      </c>
      <c r="CY8" s="254" t="str">
        <f ca="1">VLOOKUP(AuswDipl0[[#This Row],[Nummer]],_Diplom,CY$6,FALSE)</f>
        <v>Zu wenige Noten</v>
      </c>
      <c r="CZ8" s="254">
        <f ca="1">VLOOKUP(AuswDipl0[[#This Row],[Nummer]],_Diplom,CZ$6,FALSE)</f>
        <v>0</v>
      </c>
      <c r="DA8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8" s="254">
        <f ca="1">IFERROR(INDEX(INDIRECT($DB$4),MATCH(AuswDipl0[[#This Row],[BS_4_Med]],INDIRECT($DB$3),0)),6)</f>
        <v>6</v>
      </c>
    </row>
    <row r="9" spans="1:106" ht="12" customHeight="1" x14ac:dyDescent="0.25">
      <c r="A9" s="254">
        <v>3</v>
      </c>
      <c r="B9" s="254" t="str">
        <f ca="1">VLOOKUP(AuswDipl0[[#This Row],[Nummer]],_Diplom,B$6,FALSE)</f>
        <v>Sprintdisziplinen nicht durchgeführt</v>
      </c>
      <c r="C9" s="254" t="str">
        <f ca="1">IFERROR(VLOOKUP(AuswDipl0[[#This Row],[Sprint0]],INDIRECT($A$2),1,0),$B$4)</f>
        <v>Sprintdisziplinen</v>
      </c>
      <c r="D9" s="254" t="str">
        <f ca="1">IF(AuswDipl0[[#This Row],[Sprint00]]=$B$4,MID(AuswDipl0[[#This Row],[Sprint0]],FIND(" ",AuswDipl0[[#This Row],[Sprint0]],1)+1,LEN(AuswDipl0[[#This Row],[Sprint0]])),"")</f>
        <v>nicht durchgeführt</v>
      </c>
      <c r="E9" s="254" t="str">
        <f ca="1">IF(AuswDipl0[[#This Row],[Sprint000]]=Stammdaten!$AY$27,AuswDipl0[[#This Row],[Sprint000]],"")</f>
        <v>nicht durchgeführt</v>
      </c>
      <c r="F9" s="254" t="str">
        <f ca="1">IF(VLOOKUP(AuswDipl0[[#This Row],[Nummer]],_Diplom,F$6,FALSE)="",""," "&amp;VLOOKUP(AuswDipl0[[#This Row],[Nummer]],_Diplom,F$6,FALSE))</f>
        <v/>
      </c>
      <c r="G9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9" s="254" t="str">
        <f ca="1">IF(VLOOKUP(AuswDipl0[[#This Row],[Nummer]],_Diplom,H$6,FALSE)&lt;&gt;"","("&amp;VLOOKUP(AuswDipl0[[#This Row],[Nummer]],_Diplom,H$6,FALSE)&amp;")","")</f>
        <v/>
      </c>
      <c r="I9" s="254" t="str">
        <f ca="1">VLOOKUP(AuswDipl0[[#This Row],[Nummer]],_Diplom,I$6,FALSE)</f>
        <v>Ausdauerdisziplinen nicht durchgeführt</v>
      </c>
      <c r="J9" s="254" t="str">
        <f ca="1">IFERROR(VLOOKUP(AuswDipl0[[#This Row],[Ausdauer0]],INDIRECT($A$2),1,0),$I$4)</f>
        <v>Ausdauerdisziplinen</v>
      </c>
      <c r="K9" s="254" t="str">
        <f ca="1">IF(AuswDipl0[[#This Row],[Ausdauer00]]=$I$4,MID(AuswDipl0[[#This Row],[Ausdauer0]],FIND(" ",AuswDipl0[[#This Row],[Ausdauer0]],1)+1,LEN(AuswDipl0[[#This Row],[Ausdauer0]])),"")</f>
        <v>nicht durchgeführt</v>
      </c>
      <c r="L9" s="254" t="str">
        <f ca="1">IF(AuswDipl0[[#This Row],[Ausdauer000]]=Stammdaten!$AY$27,AuswDipl0[[#This Row],[Ausdauer000]],"")</f>
        <v>nicht durchgeführt</v>
      </c>
      <c r="M9" s="254" t="str">
        <f ca="1">IF(VLOOKUP(AuswDipl0[[#This Row],[Nummer]],_Diplom,M$6,FALSE)="",""," "&amp;VLOOKUP(AuswDipl0[[#This Row],[Nummer]],_Diplom,M$6,FALSE))</f>
        <v/>
      </c>
      <c r="N9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9" s="254" t="str">
        <f ca="1">IF(VLOOKUP(AuswDipl0[[#This Row],[Nummer]],_Diplom,O$6,FALSE)&lt;&gt;"","("&amp;VLOOKUP(AuswDipl0[[#This Row],[Nummer]],_Diplom,O$6,FALSE)&amp;")","")</f>
        <v/>
      </c>
      <c r="P9" s="254" t="str">
        <f ca="1">VLOOKUP(AuswDipl0[[#This Row],[Nummer]],_Diplom,P$6,FALSE)</f>
        <v>Sprungdisziplinen nicht durchgeführt</v>
      </c>
      <c r="Q9" s="254" t="str">
        <f ca="1">IFERROR(VLOOKUP(AuswDipl0[[#This Row],[Sprung0]],INDIRECT($A$2),1,0),$P$4)</f>
        <v>Sprungdisziplinen</v>
      </c>
      <c r="R9" s="254" t="str">
        <f ca="1">IF(AuswDipl0[[#This Row],[Sprung00]]=$P$4,MID(AuswDipl0[[#This Row],[Sprung0]],FIND(" ",AuswDipl0[[#This Row],[Sprung0]],1)+1,LEN(AuswDipl0[[#This Row],[Sprung0]])),"")</f>
        <v>nicht durchgeführt</v>
      </c>
      <c r="S9" s="254" t="str">
        <f ca="1">IF(AuswDipl0[[#This Row],[Sprung000]]=Stammdaten!$AY$27,AuswDipl0[[#This Row],[Sprung000]],"")</f>
        <v>nicht durchgeführt</v>
      </c>
      <c r="T9" s="254" t="str">
        <f ca="1">IF(VLOOKUP(AuswDipl0[[#This Row],[Nummer]],_Diplom,T$6,FALSE)="",""," "&amp;VLOOKUP(AuswDipl0[[#This Row],[Nummer]],_Diplom,T$6,FALSE))</f>
        <v/>
      </c>
      <c r="U9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9" s="254" t="str">
        <f ca="1">IF(VLOOKUP(AuswDipl0[[#This Row],[Nummer]],_Diplom,V$6,FALSE)&lt;&gt;"","("&amp;VLOOKUP(AuswDipl0[[#This Row],[Nummer]],_Diplom,V$6,FALSE)&amp;")","")</f>
        <v/>
      </c>
      <c r="W9" s="254" t="str">
        <f ca="1">VLOOKUP(AuswDipl0[[#This Row],[Nummer]],_Diplom,W$6,FALSE)</f>
        <v>Wurfdisziplinen nicht durchgeführt</v>
      </c>
      <c r="X9" s="254" t="str">
        <f ca="1">IFERROR(VLOOKUP(AuswDipl0[[#This Row],[Wurf0]],INDIRECT($A$2),1,0),$W$4)</f>
        <v>Wurfdisziplinen</v>
      </c>
      <c r="Y9" s="254" t="str">
        <f ca="1">IF(AuswDipl0[[#This Row],[Wurf00]]=$W$4,MID(AuswDipl0[[#This Row],[Wurf0]],FIND(" ",AuswDipl0[[#This Row],[Wurf0]],1)+1,LEN(AuswDipl0[[#This Row],[Wurf0]])),"")</f>
        <v>nicht durchgeführt</v>
      </c>
      <c r="Z9" s="254" t="str">
        <f ca="1">IF(AuswDipl0[[#This Row],[Wurf000]]=Stammdaten!$AY$27,AuswDipl0[[#This Row],[Wurf000]],"")</f>
        <v>nicht durchgeführt</v>
      </c>
      <c r="AA9" s="254" t="str">
        <f ca="1">IF(VLOOKUP(AuswDipl0[[#This Row],[Nummer]],_Diplom,AA$6,FALSE)="",""," "&amp;VLOOKUP(AuswDipl0[[#This Row],[Nummer]],_Diplom,AA$6,FALSE))</f>
        <v/>
      </c>
      <c r="AB9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9" s="254" t="str">
        <f ca="1">IF(VLOOKUP(AuswDipl0[[#This Row],[Nummer]],_Diplom,AC$6,FALSE)&lt;&gt;"","("&amp;VLOOKUP(AuswDipl0[[#This Row],[Nummer]],_Diplom,AC$6,FALSE)&amp;")","")</f>
        <v/>
      </c>
      <c r="AD9" s="254" t="str">
        <f ca="1">IF(AuswDipl0[[#This Row],[ErGe_Höchst]]&lt;&gt;"",VLOOKUP(AuswDipl0[[#This Row],[Nummer]],_Diplom,$AD$6,FALSE),VLOOKUP(AuswDipl0[[#This Row],[Nummer]],_Diplom,$AD$6,FALSE))</f>
        <v>Erstes Gerät</v>
      </c>
      <c r="AE9" s="254" t="str">
        <f ca="1">VLOOKUP(AuswDipl0[[#This Row],[Nummer]],_Diplom,$AE$6,FALSE)</f>
        <v>nicht durchgeführt</v>
      </c>
      <c r="AF9" s="254" t="str">
        <f ca="1">IF(AuswDipl0[[#This Row],[ErGe_Höchst]]&lt;&gt;"",AuswDipl0[[#This Row],[ErGe_Höchst]],AuswDipl0[[#This Row],[ErGe_Txt2]])</f>
        <v>nicht durchgeführt</v>
      </c>
      <c r="AG9" s="254" t="str">
        <f ca="1">VLOOKUP(AuswDipl0[[#This Row],[Nummer]],_Diplom,$AG$6,FALSE)</f>
        <v/>
      </c>
      <c r="AH9" s="254" t="str">
        <f>VLOOKUP(AuswDipl0[[#This Row],[Nummer]],_Diplom,$AH$6,FALSE)</f>
        <v/>
      </c>
      <c r="AI9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9" s="254" t="str">
        <f ca="1">VLOOKUP(AuswDipl0[[#This Row],[Nummer]],_Diplom,$AJ$6,FALSE)</f>
        <v/>
      </c>
      <c r="AK9" s="254" t="str">
        <f ca="1">IF(AuswDipl0[[#This Row],[ZwGe_Höchst]]&lt;&gt;"",VLOOKUP(AuswDipl0[[#This Row],[Nummer]],_Diplom,$AK$6,FALSE),VLOOKUP(AuswDipl0[[#This Row],[Nummer]],_Diplom,$AK$6,FALSE))</f>
        <v>Zweites Gerät</v>
      </c>
      <c r="AL9" s="254" t="str">
        <f ca="1">VLOOKUP(AuswDipl0[[#This Row],[Nummer]],_Diplom,$AL$6,FALSE)</f>
        <v>nicht durchgeführt</v>
      </c>
      <c r="AM9" s="254" t="str">
        <f ca="1">IF(AuswDipl0[[#This Row],[ZwGe_Höchst]]&lt;&gt;"",AuswDipl0[[#This Row],[ZwGe_Höchst]],AuswDipl0[[#This Row],[ZwGe_Txt2]])</f>
        <v>nicht durchgeführt</v>
      </c>
      <c r="AN9" s="254" t="str">
        <f ca="1">VLOOKUP(AuswDipl0[[#This Row],[Nummer]],_Diplom,$AN$6,FALSE)</f>
        <v/>
      </c>
      <c r="AO9" s="254" t="str">
        <f>VLOOKUP(AuswDipl0[[#This Row],[Nummer]],_Diplom,$AO$6,FALSE)</f>
        <v/>
      </c>
      <c r="AP9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9" s="254" t="str">
        <f ca="1">VLOOKUP(AuswDipl0[[#This Row],[Nummer]],_Diplom,$AQ$6,FALSE)</f>
        <v/>
      </c>
      <c r="AR9" s="254" t="str">
        <f ca="1">IF(AuswDipl0[[#This Row],[DrGe_Höchst]]&lt;&gt;"",VLOOKUP(AuswDipl0[[#This Row],[Nummer]],_Diplom,$AR$6,FALSE),VLOOKUP(AuswDipl0[[#This Row],[Nummer]],_Diplom,$AR$6,FALSE))</f>
        <v>Drittes Gerät</v>
      </c>
      <c r="AS9" s="254" t="str">
        <f ca="1">VLOOKUP(AuswDipl0[[#This Row],[Nummer]],_Diplom,$AS$6,FALSE)</f>
        <v>nicht durchgeführt</v>
      </c>
      <c r="AT9" s="254" t="str">
        <f ca="1">IF(AuswDipl0[[#This Row],[DrGe_Höchst]]&lt;&gt;"",AuswDipl0[[#This Row],[DrGe_Höchst]],AuswDipl0[[#This Row],[DrGe_Txt2]])</f>
        <v>nicht durchgeführt</v>
      </c>
      <c r="AU9" s="254" t="str">
        <f ca="1">VLOOKUP(AuswDipl0[[#This Row],[Nummer]],_Diplom,$AU$6,FALSE)</f>
        <v/>
      </c>
      <c r="AV9" s="254" t="str">
        <f>VLOOKUP(AuswDipl0[[#This Row],[Nummer]],_Diplom,$AV$6,FALSE)</f>
        <v/>
      </c>
      <c r="AW9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9" s="254" t="str">
        <f ca="1">VLOOKUP(AuswDipl0[[#This Row],[Nummer]],_Diplom,$AX$6,FALSE)</f>
        <v/>
      </c>
      <c r="AY9" s="254" t="str">
        <f t="shared" si="0"/>
        <v>Parkour</v>
      </c>
      <c r="AZ9" s="254">
        <f ca="1">INDEX(INDIRECT($AZ$2),AuswDipl0[[#This Row],[Nummer]])</f>
        <v>0</v>
      </c>
      <c r="BA9" s="254" t="str">
        <f ca="1">IFERROR(IF(AuswDipl0[[#This Row],[ParkourPkte0]]&gt;0," "&amp;INDEX(INDIRECT($BA$2),MATCH($AY$1,INDIRECT($A$2),0)),""),"")</f>
        <v/>
      </c>
      <c r="BB9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9" s="254" t="str">
        <f ca="1">IF(AuswDipl0[[#This Row],[ParkourMax]]&lt;&gt;"",AuswDipl0[[#This Row],[ParkourMax]],Stammdaten!$AY$27)</f>
        <v>nicht durchgeführt</v>
      </c>
      <c r="BD9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9" s="254" t="str">
        <f ca="1">IF(AuswDipl0[[#This Row],[ParkourPkte1]]="","",VLOOKUP(AuswDipl0[[#This Row],[Nummer]],_Diplom,BE$6,FALSE))</f>
        <v/>
      </c>
      <c r="BF9" s="254" t="str">
        <f ca="1">VLOOKUP(AuswDipl0[[#This Row],[Nummer]],_Diplom,BF$6,FALSE)</f>
        <v>Darstellen und Tanzen</v>
      </c>
      <c r="BG9" s="254" t="str">
        <f ca="1">VLOOKUP(AuswDipl0[[#This Row],[Nummer]],_Diplom,BG$6,FALSE)</f>
        <v>nicht durchgeführt</v>
      </c>
      <c r="BH9" s="254" t="str">
        <f ca="1">IF(AuswDipl0[[#This Row],[BS_3_Max]]&lt;&gt;"",AuswDipl0[[#This Row],[BS_3_Max]],AuswDipl0[[#This Row],[BS_3_Txt1]])</f>
        <v>nicht durchgeführt</v>
      </c>
      <c r="BI9" s="254" t="str">
        <f ca="1">IF(VLOOKUP(AuswDipl0[[#This Row],[Nummer]],_Diplom,BI$6,FALSE)="","",VLOOKUP(AuswDipl0[[#This Row],[Nummer]],_Diplom,BI$6,FALSE))</f>
        <v/>
      </c>
      <c r="BJ9" s="254" t="str">
        <f ca="1">IF(AuswDipl0[[#This Row],[BS_3_Txt1]]=Stammdaten!$AX$19,AuswDipl0[[#This Row],[BS_3_Txt1]],AuswDipl0[[#This Row],[BS_3_Pkte0]]&amp;AuswDipl0[[#This Row],[BS_3_Mass]])</f>
        <v/>
      </c>
      <c r="BK9" s="254" t="str">
        <f ca="1">IFERROR(" "&amp;INDEX(INDIRECT($BK$2),MATCH(AuswDipl0[[#This Row],[BS_3_Txt0]],INDIRECT($A$2),0)),"")</f>
        <v/>
      </c>
      <c r="BL9" s="254" t="str">
        <f ca="1">VLOOKUP(AuswDipl0[[#This Row],[Nummer]],_Diplom,BL$6,FALSE)</f>
        <v/>
      </c>
      <c r="BM9" s="254" t="str">
        <f ca="1">IF(AuswDipl0[[#This Row],[ErSp_Höchst]]&lt;&gt;"",VLOOKUP(AuswDipl0[[#This Row],[Nummer]],_Diplom,$BM$6,FALSE),VLOOKUP(AuswDipl0[[#This Row],[Nummer]],_Diplom,$BM$6,FALSE))</f>
        <v>Erste Spielsportart</v>
      </c>
      <c r="BN9" s="254" t="str">
        <f ca="1">VLOOKUP(AuswDipl0[[#This Row],[Nummer]],_Diplom,$BN$6,FALSE)</f>
        <v>nicht durchgeführt</v>
      </c>
      <c r="BO9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9" s="254" t="str">
        <f ca="1">VLOOKUP(AuswDipl0[[#This Row],[Nummer]],_Diplom,$BP$6,FALSE)</f>
        <v/>
      </c>
      <c r="BQ9" s="254" t="str">
        <f ca="1">VLOOKUP(AuswDipl0[[#This Row],[Nummer]],_Diplom,$BQ$6,FALSE)</f>
        <v/>
      </c>
      <c r="BR9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9" s="254" t="str">
        <f ca="1">VLOOKUP(AuswDipl0[[#This Row],[Nummer]],_Diplom,$BS$6,FALSE)</f>
        <v/>
      </c>
      <c r="BT9" s="254" t="str">
        <f ca="1">VLOOKUP(AuswDipl0[[#This Row],[Nummer]],_Diplom,$BT$6,FALSE)</f>
        <v/>
      </c>
      <c r="BU9" s="254" t="str">
        <f ca="1">IF(AuswDipl0[[#This Row],[ZwSp_Höchst]]&lt;&gt;"",VLOOKUP(AuswDipl0[[#This Row],[Nummer]],_Diplom,$BU$6,FALSE),VLOOKUP(AuswDipl0[[#This Row],[Nummer]],_Diplom,$BU$6,FALSE))</f>
        <v>Zweite Spielsportart</v>
      </c>
      <c r="BV9" s="254" t="str">
        <f ca="1">VLOOKUP(AuswDipl0[[#This Row],[Nummer]],_Diplom,$BV$6,FALSE)</f>
        <v>nicht durchgeführt</v>
      </c>
      <c r="BW9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9" s="254" t="str">
        <f ca="1">VLOOKUP(AuswDipl0[[#This Row],[Nummer]],_Diplom,$BX$6,FALSE)</f>
        <v/>
      </c>
      <c r="BY9" s="254" t="str">
        <f ca="1">VLOOKUP(AuswDipl0[[#This Row],[Nummer]],_Diplom,$BY$6,FALSE)</f>
        <v/>
      </c>
      <c r="BZ9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9" s="254" t="str">
        <f ca="1">VLOOKUP(AuswDipl0[[#This Row],[Nummer]],_Diplom,$CA$6,FALSE)</f>
        <v/>
      </c>
      <c r="CB9" s="254" t="str">
        <f ca="1">VLOOKUP(AuswDipl0[[#This Row],[Nummer]],_Diplom,$CB$6,FALSE)</f>
        <v/>
      </c>
      <c r="CC9" s="254" t="str">
        <f ca="1">IF(AuswDipl0[[#This Row],[DrSp_Höchst]]&lt;&gt;"",VLOOKUP(AuswDipl0[[#This Row],[Nummer]],_Diplom,$CC$6,FALSE),VLOOKUP(AuswDipl0[[#This Row],[Nummer]],_Diplom,$CC$6,FALSE))</f>
        <v>Dritte Spielsportart</v>
      </c>
      <c r="CD9" s="254" t="str">
        <f ca="1">VLOOKUP(AuswDipl0[[#This Row],[Nummer]],_Diplom,$CD$6,FALSE)</f>
        <v>nicht durchgeführt</v>
      </c>
      <c r="CE9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9" s="254" t="str">
        <f ca="1">VLOOKUP(AuswDipl0[[#This Row],[Nummer]],_Diplom,$CF$6,FALSE)</f>
        <v/>
      </c>
      <c r="CG9" s="254" t="str">
        <f ca="1">VLOOKUP(AuswDipl0[[#This Row],[Nummer]],_Diplom,$CG$6,FALSE)</f>
        <v/>
      </c>
      <c r="CH9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9" s="254" t="str">
        <f ca="1">VLOOKUP(AuswDipl0[[#This Row],[Nummer]],_Diplom,$CI$6,FALSE)</f>
        <v/>
      </c>
      <c r="CJ9" s="254" t="str">
        <f ca="1">VLOOKUP(AuswDipl0[[#This Row],[Nummer]],_Diplom,$CJ$6,FALSE)</f>
        <v/>
      </c>
      <c r="CK9" s="254" t="str">
        <f ca="1">VLOOKUP(AuswDipl0[[#This Row],[Nummer]],_Diplom,CK$6,FALSE)</f>
        <v>Zu wenige Noten</v>
      </c>
      <c r="CL9" s="254">
        <f ca="1">VLOOKUP(AuswDipl0[[#This Row],[Nummer]],_Diplom,CL$6,FALSE)</f>
        <v>0</v>
      </c>
      <c r="CM9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9" s="254">
        <f ca="1">IFERROR(INDEX(INDIRECT($CN$4),MATCH(AuswDipl0[[#This Row],[BS_1_Med]],INDIRECT($CN$3),0)),6)</f>
        <v>6</v>
      </c>
      <c r="CO9" s="254" t="str">
        <f ca="1">VLOOKUP(AuswDipl0[[#This Row],[Nummer]],_Diplom,CO$6,FALSE)</f>
        <v>Zu wenige Noten</v>
      </c>
      <c r="CP9" s="254">
        <f>VLOOKUP(AuswDipl0[[#This Row],[Nummer]],_Diplom,CP$6,FALSE)</f>
        <v>0</v>
      </c>
      <c r="CQ9" s="254">
        <f ca="1">VLOOKUP(AuswDipl0[[#This Row],[Nummer]],_Diplom,CQ$6,FALSE)</f>
        <v>0</v>
      </c>
      <c r="CR9" s="254">
        <f ca="1">IF(AND(AuswDipl0[[#This Row],[BS_2_AnzGer]]&gt;=$CP$2,AND(ISNUMBER(AuswDipl0[[#This Row],[BS_2_Park]]),AuswDipl0[[#This Row],[BS_2_Park]]&gt;0)),1,0)</f>
        <v>0</v>
      </c>
      <c r="CS9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9" s="254">
        <f ca="1">IFERROR(INDEX(INDIRECT($CT$4),MATCH(AuswDipl0[[#This Row],[BS_2_Med]],INDIRECT($CT$3),0)),6)</f>
        <v>6</v>
      </c>
      <c r="CU9" s="254" t="str">
        <f ca="1">VLOOKUP(AuswDipl0[[#This Row],[Nummer]],_Diplom,CU$6,FALSE)</f>
        <v>Zu wenige Noten</v>
      </c>
      <c r="CV9" s="254">
        <f ca="1">IF(AuswDipl0[[#This Row],[BS_3_Erg]]=INDEX(StdFehler[StdFehler],4),0,IF(AuswDipl0[[#This Row],[BS_3_Erg]]=Stammdaten!$AX$19,Stammdaten!$AX$19,VALUE(AuswDipl0[[#This Row],[BS_3_Erg]])))</f>
        <v>0</v>
      </c>
      <c r="CW9" s="254" t="str">
        <f ca="1">IF(AuswDipl0[[#This Row],[BS_3_x]]=0,"",INDEX(INDIRECT(CW$4),MATCH(AuswDipl0[[#This Row],[BS_3_x]],INDIRECT(CW$3),0)))</f>
        <v/>
      </c>
      <c r="CX9" s="254">
        <f ca="1">IFERROR(INDEX(INDIRECT($CX$4),MATCH(AuswDipl0[[#This Row],[BS_3_Med]],INDIRECT($CX$3),0)),6)</f>
        <v>6</v>
      </c>
      <c r="CY9" s="254" t="str">
        <f ca="1">VLOOKUP(AuswDipl0[[#This Row],[Nummer]],_Diplom,CY$6,FALSE)</f>
        <v>Zu wenige Noten</v>
      </c>
      <c r="CZ9" s="254">
        <f ca="1">VLOOKUP(AuswDipl0[[#This Row],[Nummer]],_Diplom,CZ$6,FALSE)</f>
        <v>0</v>
      </c>
      <c r="DA9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9" s="254">
        <f ca="1">IFERROR(INDEX(INDIRECT($DB$4),MATCH(AuswDipl0[[#This Row],[BS_4_Med]],INDIRECT($DB$3),0)),6)</f>
        <v>6</v>
      </c>
    </row>
    <row r="10" spans="1:106" ht="12" customHeight="1" x14ac:dyDescent="0.25">
      <c r="A10" s="254">
        <v>4</v>
      </c>
      <c r="B10" s="254" t="str">
        <f ca="1">VLOOKUP(AuswDipl0[[#This Row],[Nummer]],_Diplom,B$6,FALSE)</f>
        <v>Sprintdisziplinen nicht durchgeführt</v>
      </c>
      <c r="C10" s="254" t="str">
        <f ca="1">IFERROR(VLOOKUP(AuswDipl0[[#This Row],[Sprint0]],INDIRECT($A$2),1,0),$B$4)</f>
        <v>Sprintdisziplinen</v>
      </c>
      <c r="D10" s="254" t="str">
        <f ca="1">IF(AuswDipl0[[#This Row],[Sprint00]]=$B$4,MID(AuswDipl0[[#This Row],[Sprint0]],FIND(" ",AuswDipl0[[#This Row],[Sprint0]],1)+1,LEN(AuswDipl0[[#This Row],[Sprint0]])),"")</f>
        <v>nicht durchgeführt</v>
      </c>
      <c r="E10" s="254" t="str">
        <f ca="1">IF(AuswDipl0[[#This Row],[Sprint000]]=Stammdaten!$AY$27,AuswDipl0[[#This Row],[Sprint000]],"")</f>
        <v>nicht durchgeführt</v>
      </c>
      <c r="F10" s="254" t="str">
        <f ca="1">IF(VLOOKUP(AuswDipl0[[#This Row],[Nummer]],_Diplom,F$6,FALSE)="",""," "&amp;VLOOKUP(AuswDipl0[[#This Row],[Nummer]],_Diplom,F$6,FALSE))</f>
        <v/>
      </c>
      <c r="G10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0" s="254" t="str">
        <f ca="1">IF(VLOOKUP(AuswDipl0[[#This Row],[Nummer]],_Diplom,H$6,FALSE)&lt;&gt;"","("&amp;VLOOKUP(AuswDipl0[[#This Row],[Nummer]],_Diplom,H$6,FALSE)&amp;")","")</f>
        <v/>
      </c>
      <c r="I10" s="254" t="str">
        <f ca="1">VLOOKUP(AuswDipl0[[#This Row],[Nummer]],_Diplom,I$6,FALSE)</f>
        <v>Ausdauerdisziplinen nicht durchgeführt</v>
      </c>
      <c r="J10" s="254" t="str">
        <f ca="1">IFERROR(VLOOKUP(AuswDipl0[[#This Row],[Ausdauer0]],INDIRECT($A$2),1,0),$I$4)</f>
        <v>Ausdauerdisziplinen</v>
      </c>
      <c r="K10" s="254" t="str">
        <f ca="1">IF(AuswDipl0[[#This Row],[Ausdauer00]]=$I$4,MID(AuswDipl0[[#This Row],[Ausdauer0]],FIND(" ",AuswDipl0[[#This Row],[Ausdauer0]],1)+1,LEN(AuswDipl0[[#This Row],[Ausdauer0]])),"")</f>
        <v>nicht durchgeführt</v>
      </c>
      <c r="L10" s="254" t="str">
        <f ca="1">IF(AuswDipl0[[#This Row],[Ausdauer000]]=Stammdaten!$AY$27,AuswDipl0[[#This Row],[Ausdauer000]],"")</f>
        <v>nicht durchgeführt</v>
      </c>
      <c r="M10" s="254" t="str">
        <f ca="1">IF(VLOOKUP(AuswDipl0[[#This Row],[Nummer]],_Diplom,M$6,FALSE)="",""," "&amp;VLOOKUP(AuswDipl0[[#This Row],[Nummer]],_Diplom,M$6,FALSE))</f>
        <v/>
      </c>
      <c r="N10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0" s="254" t="str">
        <f ca="1">IF(VLOOKUP(AuswDipl0[[#This Row],[Nummer]],_Diplom,O$6,FALSE)&lt;&gt;"","("&amp;VLOOKUP(AuswDipl0[[#This Row],[Nummer]],_Diplom,O$6,FALSE)&amp;")","")</f>
        <v/>
      </c>
      <c r="P10" s="254" t="str">
        <f ca="1">VLOOKUP(AuswDipl0[[#This Row],[Nummer]],_Diplom,P$6,FALSE)</f>
        <v>Sprungdisziplinen nicht durchgeführt</v>
      </c>
      <c r="Q10" s="254" t="str">
        <f ca="1">IFERROR(VLOOKUP(AuswDipl0[[#This Row],[Sprung0]],INDIRECT($A$2),1,0),$P$4)</f>
        <v>Sprungdisziplinen</v>
      </c>
      <c r="R10" s="254" t="str">
        <f ca="1">IF(AuswDipl0[[#This Row],[Sprung00]]=$P$4,MID(AuswDipl0[[#This Row],[Sprung0]],FIND(" ",AuswDipl0[[#This Row],[Sprung0]],1)+1,LEN(AuswDipl0[[#This Row],[Sprung0]])),"")</f>
        <v>nicht durchgeführt</v>
      </c>
      <c r="S10" s="254" t="str">
        <f ca="1">IF(AuswDipl0[[#This Row],[Sprung000]]=Stammdaten!$AY$27,AuswDipl0[[#This Row],[Sprung000]],"")</f>
        <v>nicht durchgeführt</v>
      </c>
      <c r="T10" s="254" t="str">
        <f ca="1">IF(VLOOKUP(AuswDipl0[[#This Row],[Nummer]],_Diplom,T$6,FALSE)="",""," "&amp;VLOOKUP(AuswDipl0[[#This Row],[Nummer]],_Diplom,T$6,FALSE))</f>
        <v/>
      </c>
      <c r="U10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0" s="254" t="str">
        <f ca="1">IF(VLOOKUP(AuswDipl0[[#This Row],[Nummer]],_Diplom,V$6,FALSE)&lt;&gt;"","("&amp;VLOOKUP(AuswDipl0[[#This Row],[Nummer]],_Diplom,V$6,FALSE)&amp;")","")</f>
        <v/>
      </c>
      <c r="W10" s="254" t="str">
        <f ca="1">VLOOKUP(AuswDipl0[[#This Row],[Nummer]],_Diplom,W$6,FALSE)</f>
        <v>Wurfdisziplinen nicht durchgeführt</v>
      </c>
      <c r="X10" s="254" t="str">
        <f ca="1">IFERROR(VLOOKUP(AuswDipl0[[#This Row],[Wurf0]],INDIRECT($A$2),1,0),$W$4)</f>
        <v>Wurfdisziplinen</v>
      </c>
      <c r="Y10" s="254" t="str">
        <f ca="1">IF(AuswDipl0[[#This Row],[Wurf00]]=$W$4,MID(AuswDipl0[[#This Row],[Wurf0]],FIND(" ",AuswDipl0[[#This Row],[Wurf0]],1)+1,LEN(AuswDipl0[[#This Row],[Wurf0]])),"")</f>
        <v>nicht durchgeführt</v>
      </c>
      <c r="Z10" s="254" t="str">
        <f ca="1">IF(AuswDipl0[[#This Row],[Wurf000]]=Stammdaten!$AY$27,AuswDipl0[[#This Row],[Wurf000]],"")</f>
        <v>nicht durchgeführt</v>
      </c>
      <c r="AA10" s="254" t="str">
        <f ca="1">IF(VLOOKUP(AuswDipl0[[#This Row],[Nummer]],_Diplom,AA$6,FALSE)="",""," "&amp;VLOOKUP(AuswDipl0[[#This Row],[Nummer]],_Diplom,AA$6,FALSE))</f>
        <v/>
      </c>
      <c r="AB10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0" s="254" t="str">
        <f ca="1">IF(VLOOKUP(AuswDipl0[[#This Row],[Nummer]],_Diplom,AC$6,FALSE)&lt;&gt;"","("&amp;VLOOKUP(AuswDipl0[[#This Row],[Nummer]],_Diplom,AC$6,FALSE)&amp;")","")</f>
        <v/>
      </c>
      <c r="AD10" s="254" t="str">
        <f ca="1">IF(AuswDipl0[[#This Row],[ErGe_Höchst]]&lt;&gt;"",VLOOKUP(AuswDipl0[[#This Row],[Nummer]],_Diplom,$AD$6,FALSE),VLOOKUP(AuswDipl0[[#This Row],[Nummer]],_Diplom,$AD$6,FALSE))</f>
        <v>Erstes Gerät</v>
      </c>
      <c r="AE10" s="254" t="str">
        <f ca="1">VLOOKUP(AuswDipl0[[#This Row],[Nummer]],_Diplom,$AE$6,FALSE)</f>
        <v>nicht durchgeführt</v>
      </c>
      <c r="AF10" s="254" t="str">
        <f ca="1">IF(AuswDipl0[[#This Row],[ErGe_Höchst]]&lt;&gt;"",AuswDipl0[[#This Row],[ErGe_Höchst]],AuswDipl0[[#This Row],[ErGe_Txt2]])</f>
        <v>nicht durchgeführt</v>
      </c>
      <c r="AG10" s="254" t="str">
        <f ca="1">VLOOKUP(AuswDipl0[[#This Row],[Nummer]],_Diplom,$AG$6,FALSE)</f>
        <v/>
      </c>
      <c r="AH10" s="254" t="str">
        <f>VLOOKUP(AuswDipl0[[#This Row],[Nummer]],_Diplom,$AH$6,FALSE)</f>
        <v/>
      </c>
      <c r="AI10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0" s="254" t="str">
        <f ca="1">VLOOKUP(AuswDipl0[[#This Row],[Nummer]],_Diplom,$AJ$6,FALSE)</f>
        <v/>
      </c>
      <c r="AK10" s="254" t="str">
        <f ca="1">IF(AuswDipl0[[#This Row],[ZwGe_Höchst]]&lt;&gt;"",VLOOKUP(AuswDipl0[[#This Row],[Nummer]],_Diplom,$AK$6,FALSE),VLOOKUP(AuswDipl0[[#This Row],[Nummer]],_Diplom,$AK$6,FALSE))</f>
        <v>Zweites Gerät</v>
      </c>
      <c r="AL10" s="254" t="str">
        <f ca="1">VLOOKUP(AuswDipl0[[#This Row],[Nummer]],_Diplom,$AL$6,FALSE)</f>
        <v>nicht durchgeführt</v>
      </c>
      <c r="AM10" s="254" t="str">
        <f ca="1">IF(AuswDipl0[[#This Row],[ZwGe_Höchst]]&lt;&gt;"",AuswDipl0[[#This Row],[ZwGe_Höchst]],AuswDipl0[[#This Row],[ZwGe_Txt2]])</f>
        <v>nicht durchgeführt</v>
      </c>
      <c r="AN10" s="254" t="str">
        <f ca="1">VLOOKUP(AuswDipl0[[#This Row],[Nummer]],_Diplom,$AN$6,FALSE)</f>
        <v/>
      </c>
      <c r="AO10" s="254" t="str">
        <f>VLOOKUP(AuswDipl0[[#This Row],[Nummer]],_Diplom,$AO$6,FALSE)</f>
        <v/>
      </c>
      <c r="AP10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0" s="254" t="str">
        <f ca="1">VLOOKUP(AuswDipl0[[#This Row],[Nummer]],_Diplom,$AQ$6,FALSE)</f>
        <v/>
      </c>
      <c r="AR10" s="254" t="str">
        <f ca="1">IF(AuswDipl0[[#This Row],[DrGe_Höchst]]&lt;&gt;"",VLOOKUP(AuswDipl0[[#This Row],[Nummer]],_Diplom,$AR$6,FALSE),VLOOKUP(AuswDipl0[[#This Row],[Nummer]],_Diplom,$AR$6,FALSE))</f>
        <v>Drittes Gerät</v>
      </c>
      <c r="AS10" s="254" t="str">
        <f ca="1">VLOOKUP(AuswDipl0[[#This Row],[Nummer]],_Diplom,$AS$6,FALSE)</f>
        <v>nicht durchgeführt</v>
      </c>
      <c r="AT10" s="254" t="str">
        <f ca="1">IF(AuswDipl0[[#This Row],[DrGe_Höchst]]&lt;&gt;"",AuswDipl0[[#This Row],[DrGe_Höchst]],AuswDipl0[[#This Row],[DrGe_Txt2]])</f>
        <v>nicht durchgeführt</v>
      </c>
      <c r="AU10" s="254" t="str">
        <f ca="1">VLOOKUP(AuswDipl0[[#This Row],[Nummer]],_Diplom,$AU$6,FALSE)</f>
        <v/>
      </c>
      <c r="AV10" s="254" t="str">
        <f>VLOOKUP(AuswDipl0[[#This Row],[Nummer]],_Diplom,$AV$6,FALSE)</f>
        <v/>
      </c>
      <c r="AW10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0" s="254" t="str">
        <f ca="1">VLOOKUP(AuswDipl0[[#This Row],[Nummer]],_Diplom,$AX$6,FALSE)</f>
        <v/>
      </c>
      <c r="AY10" s="254" t="str">
        <f t="shared" si="0"/>
        <v>Parkour</v>
      </c>
      <c r="AZ10" s="254">
        <f ca="1">INDEX(INDIRECT($AZ$2),AuswDipl0[[#This Row],[Nummer]])</f>
        <v>0</v>
      </c>
      <c r="BA10" s="254" t="str">
        <f ca="1">IFERROR(IF(AuswDipl0[[#This Row],[ParkourPkte0]]&gt;0," "&amp;INDEX(INDIRECT($BA$2),MATCH($AY$1,INDIRECT($A$2),0)),""),"")</f>
        <v/>
      </c>
      <c r="BB10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0" s="254" t="str">
        <f ca="1">IF(AuswDipl0[[#This Row],[ParkourMax]]&lt;&gt;"",AuswDipl0[[#This Row],[ParkourMax]],Stammdaten!$AY$27)</f>
        <v>nicht durchgeführt</v>
      </c>
      <c r="BD10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0" s="254" t="str">
        <f ca="1">IF(AuswDipl0[[#This Row],[ParkourPkte1]]="","",VLOOKUP(AuswDipl0[[#This Row],[Nummer]],_Diplom,BE$6,FALSE))</f>
        <v/>
      </c>
      <c r="BF10" s="254" t="str">
        <f ca="1">VLOOKUP(AuswDipl0[[#This Row],[Nummer]],_Diplom,BF$6,FALSE)</f>
        <v>Darstellen und Tanzen</v>
      </c>
      <c r="BG10" s="254" t="str">
        <f ca="1">VLOOKUP(AuswDipl0[[#This Row],[Nummer]],_Diplom,BG$6,FALSE)</f>
        <v>nicht durchgeführt</v>
      </c>
      <c r="BH10" s="254" t="str">
        <f ca="1">IF(AuswDipl0[[#This Row],[BS_3_Max]]&lt;&gt;"",AuswDipl0[[#This Row],[BS_3_Max]],AuswDipl0[[#This Row],[BS_3_Txt1]])</f>
        <v>nicht durchgeführt</v>
      </c>
      <c r="BI10" s="254" t="str">
        <f ca="1">IF(VLOOKUP(AuswDipl0[[#This Row],[Nummer]],_Diplom,BI$6,FALSE)="","",VLOOKUP(AuswDipl0[[#This Row],[Nummer]],_Diplom,BI$6,FALSE))</f>
        <v/>
      </c>
      <c r="BJ10" s="254" t="str">
        <f ca="1">IF(AuswDipl0[[#This Row],[BS_3_Txt1]]=Stammdaten!$AX$19,AuswDipl0[[#This Row],[BS_3_Txt1]],AuswDipl0[[#This Row],[BS_3_Pkte0]]&amp;AuswDipl0[[#This Row],[BS_3_Mass]])</f>
        <v/>
      </c>
      <c r="BK10" s="254" t="str">
        <f ca="1">IFERROR(" "&amp;INDEX(INDIRECT($BK$2),MATCH(AuswDipl0[[#This Row],[BS_3_Txt0]],INDIRECT($A$2),0)),"")</f>
        <v/>
      </c>
      <c r="BL10" s="254" t="str">
        <f ca="1">VLOOKUP(AuswDipl0[[#This Row],[Nummer]],_Diplom,BL$6,FALSE)</f>
        <v/>
      </c>
      <c r="BM10" s="254" t="str">
        <f ca="1">IF(AuswDipl0[[#This Row],[ErSp_Höchst]]&lt;&gt;"",VLOOKUP(AuswDipl0[[#This Row],[Nummer]],_Diplom,$BM$6,FALSE),VLOOKUP(AuswDipl0[[#This Row],[Nummer]],_Diplom,$BM$6,FALSE))</f>
        <v>Erste Spielsportart</v>
      </c>
      <c r="BN10" s="254" t="str">
        <f ca="1">VLOOKUP(AuswDipl0[[#This Row],[Nummer]],_Diplom,$BN$6,FALSE)</f>
        <v>nicht durchgeführt</v>
      </c>
      <c r="BO10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0" s="254" t="str">
        <f ca="1">VLOOKUP(AuswDipl0[[#This Row],[Nummer]],_Diplom,$BP$6,FALSE)</f>
        <v/>
      </c>
      <c r="BQ10" s="254" t="str">
        <f ca="1">VLOOKUP(AuswDipl0[[#This Row],[Nummer]],_Diplom,$BQ$6,FALSE)</f>
        <v/>
      </c>
      <c r="BR10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0" s="254" t="str">
        <f ca="1">VLOOKUP(AuswDipl0[[#This Row],[Nummer]],_Diplom,$BS$6,FALSE)</f>
        <v/>
      </c>
      <c r="BT10" s="254" t="str">
        <f ca="1">VLOOKUP(AuswDipl0[[#This Row],[Nummer]],_Diplom,$BT$6,FALSE)</f>
        <v/>
      </c>
      <c r="BU10" s="254" t="str">
        <f ca="1">IF(AuswDipl0[[#This Row],[ZwSp_Höchst]]&lt;&gt;"",VLOOKUP(AuswDipl0[[#This Row],[Nummer]],_Diplom,$BU$6,FALSE),VLOOKUP(AuswDipl0[[#This Row],[Nummer]],_Diplom,$BU$6,FALSE))</f>
        <v>Zweite Spielsportart</v>
      </c>
      <c r="BV10" s="254" t="str">
        <f ca="1">VLOOKUP(AuswDipl0[[#This Row],[Nummer]],_Diplom,$BV$6,FALSE)</f>
        <v>nicht durchgeführt</v>
      </c>
      <c r="BW10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0" s="254" t="str">
        <f ca="1">VLOOKUP(AuswDipl0[[#This Row],[Nummer]],_Diplom,$BX$6,FALSE)</f>
        <v/>
      </c>
      <c r="BY10" s="254" t="str">
        <f ca="1">VLOOKUP(AuswDipl0[[#This Row],[Nummer]],_Diplom,$BY$6,FALSE)</f>
        <v/>
      </c>
      <c r="BZ10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0" s="254" t="str">
        <f ca="1">VLOOKUP(AuswDipl0[[#This Row],[Nummer]],_Diplom,$CA$6,FALSE)</f>
        <v/>
      </c>
      <c r="CB10" s="254" t="str">
        <f ca="1">VLOOKUP(AuswDipl0[[#This Row],[Nummer]],_Diplom,$CB$6,FALSE)</f>
        <v/>
      </c>
      <c r="CC10" s="254" t="str">
        <f ca="1">IF(AuswDipl0[[#This Row],[DrSp_Höchst]]&lt;&gt;"",VLOOKUP(AuswDipl0[[#This Row],[Nummer]],_Diplom,$CC$6,FALSE),VLOOKUP(AuswDipl0[[#This Row],[Nummer]],_Diplom,$CC$6,FALSE))</f>
        <v>Dritte Spielsportart</v>
      </c>
      <c r="CD10" s="254" t="str">
        <f ca="1">VLOOKUP(AuswDipl0[[#This Row],[Nummer]],_Diplom,$CD$6,FALSE)</f>
        <v>nicht durchgeführt</v>
      </c>
      <c r="CE10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0" s="254" t="str">
        <f ca="1">VLOOKUP(AuswDipl0[[#This Row],[Nummer]],_Diplom,$CF$6,FALSE)</f>
        <v/>
      </c>
      <c r="CG10" s="254" t="str">
        <f ca="1">VLOOKUP(AuswDipl0[[#This Row],[Nummer]],_Diplom,$CG$6,FALSE)</f>
        <v/>
      </c>
      <c r="CH10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0" s="254" t="str">
        <f ca="1">VLOOKUP(AuswDipl0[[#This Row],[Nummer]],_Diplom,$CI$6,FALSE)</f>
        <v/>
      </c>
      <c r="CJ10" s="254" t="str">
        <f ca="1">VLOOKUP(AuswDipl0[[#This Row],[Nummer]],_Diplom,$CJ$6,FALSE)</f>
        <v/>
      </c>
      <c r="CK10" s="254" t="str">
        <f ca="1">VLOOKUP(AuswDipl0[[#This Row],[Nummer]],_Diplom,CK$6,FALSE)</f>
        <v>Zu wenige Noten</v>
      </c>
      <c r="CL10" s="254">
        <f ca="1">VLOOKUP(AuswDipl0[[#This Row],[Nummer]],_Diplom,CL$6,FALSE)</f>
        <v>0</v>
      </c>
      <c r="CM10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0" s="254">
        <f ca="1">IFERROR(INDEX(INDIRECT($CN$4),MATCH(AuswDipl0[[#This Row],[BS_1_Med]],INDIRECT($CN$3),0)),6)</f>
        <v>6</v>
      </c>
      <c r="CO10" s="254" t="str">
        <f ca="1">VLOOKUP(AuswDipl0[[#This Row],[Nummer]],_Diplom,CO$6,FALSE)</f>
        <v>Zu wenige Noten</v>
      </c>
      <c r="CP10" s="254">
        <f>VLOOKUP(AuswDipl0[[#This Row],[Nummer]],_Diplom,CP$6,FALSE)</f>
        <v>0</v>
      </c>
      <c r="CQ10" s="254">
        <f ca="1">VLOOKUP(AuswDipl0[[#This Row],[Nummer]],_Diplom,CQ$6,FALSE)</f>
        <v>0</v>
      </c>
      <c r="CR10" s="254">
        <f ca="1">IF(AND(AuswDipl0[[#This Row],[BS_2_AnzGer]]&gt;=$CP$2,AND(ISNUMBER(AuswDipl0[[#This Row],[BS_2_Park]]),AuswDipl0[[#This Row],[BS_2_Park]]&gt;0)),1,0)</f>
        <v>0</v>
      </c>
      <c r="CS10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0" s="254">
        <f ca="1">IFERROR(INDEX(INDIRECT($CT$4),MATCH(AuswDipl0[[#This Row],[BS_2_Med]],INDIRECT($CT$3),0)),6)</f>
        <v>6</v>
      </c>
      <c r="CU10" s="254" t="str">
        <f ca="1">VLOOKUP(AuswDipl0[[#This Row],[Nummer]],_Diplom,CU$6,FALSE)</f>
        <v>Zu wenige Noten</v>
      </c>
      <c r="CV10" s="254">
        <f ca="1">IF(AuswDipl0[[#This Row],[BS_3_Erg]]=INDEX(StdFehler[StdFehler],4),0,IF(AuswDipl0[[#This Row],[BS_3_Erg]]=Stammdaten!$AX$19,Stammdaten!$AX$19,VALUE(AuswDipl0[[#This Row],[BS_3_Erg]])))</f>
        <v>0</v>
      </c>
      <c r="CW10" s="254" t="str">
        <f ca="1">IF(AuswDipl0[[#This Row],[BS_3_x]]=0,"",INDEX(INDIRECT(CW$4),MATCH(AuswDipl0[[#This Row],[BS_3_x]],INDIRECT(CW$3),0)))</f>
        <v/>
      </c>
      <c r="CX10" s="254">
        <f ca="1">IFERROR(INDEX(INDIRECT($CX$4),MATCH(AuswDipl0[[#This Row],[BS_3_Med]],INDIRECT($CX$3),0)),6)</f>
        <v>6</v>
      </c>
      <c r="CY10" s="254" t="str">
        <f ca="1">VLOOKUP(AuswDipl0[[#This Row],[Nummer]],_Diplom,CY$6,FALSE)</f>
        <v>Zu wenige Noten</v>
      </c>
      <c r="CZ10" s="254">
        <f ca="1">VLOOKUP(AuswDipl0[[#This Row],[Nummer]],_Diplom,CZ$6,FALSE)</f>
        <v>0</v>
      </c>
      <c r="DA10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0" s="254">
        <f ca="1">IFERROR(INDEX(INDIRECT($DB$4),MATCH(AuswDipl0[[#This Row],[BS_4_Med]],INDIRECT($DB$3),0)),6)</f>
        <v>6</v>
      </c>
    </row>
    <row r="11" spans="1:106" ht="12" customHeight="1" x14ac:dyDescent="0.25">
      <c r="A11" s="254">
        <v>5</v>
      </c>
      <c r="B11" s="254" t="str">
        <f ca="1">VLOOKUP(AuswDipl0[[#This Row],[Nummer]],_Diplom,B$6,FALSE)</f>
        <v>Sprintdisziplinen nicht durchgeführt</v>
      </c>
      <c r="C11" s="254" t="str">
        <f ca="1">IFERROR(VLOOKUP(AuswDipl0[[#This Row],[Sprint0]],INDIRECT($A$2),1,0),$B$4)</f>
        <v>Sprintdisziplinen</v>
      </c>
      <c r="D11" s="254" t="str">
        <f ca="1">IF(AuswDipl0[[#This Row],[Sprint00]]=$B$4,MID(AuswDipl0[[#This Row],[Sprint0]],FIND(" ",AuswDipl0[[#This Row],[Sprint0]],1)+1,LEN(AuswDipl0[[#This Row],[Sprint0]])),"")</f>
        <v>nicht durchgeführt</v>
      </c>
      <c r="E11" s="254" t="str">
        <f ca="1">IF(AuswDipl0[[#This Row],[Sprint000]]=Stammdaten!$AY$27,AuswDipl0[[#This Row],[Sprint000]],"")</f>
        <v>nicht durchgeführt</v>
      </c>
      <c r="F11" s="254" t="str">
        <f ca="1">IF(VLOOKUP(AuswDipl0[[#This Row],[Nummer]],_Diplom,F$6,FALSE)="",""," "&amp;VLOOKUP(AuswDipl0[[#This Row],[Nummer]],_Diplom,F$6,FALSE))</f>
        <v/>
      </c>
      <c r="G11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1" s="254" t="str">
        <f ca="1">IF(VLOOKUP(AuswDipl0[[#This Row],[Nummer]],_Diplom,H$6,FALSE)&lt;&gt;"","("&amp;VLOOKUP(AuswDipl0[[#This Row],[Nummer]],_Diplom,H$6,FALSE)&amp;")","")</f>
        <v/>
      </c>
      <c r="I11" s="254" t="str">
        <f ca="1">VLOOKUP(AuswDipl0[[#This Row],[Nummer]],_Diplom,I$6,FALSE)</f>
        <v>Ausdauerdisziplinen nicht durchgeführt</v>
      </c>
      <c r="J11" s="254" t="str">
        <f ca="1">IFERROR(VLOOKUP(AuswDipl0[[#This Row],[Ausdauer0]],INDIRECT($A$2),1,0),$I$4)</f>
        <v>Ausdauerdisziplinen</v>
      </c>
      <c r="K11" s="254" t="str">
        <f ca="1">IF(AuswDipl0[[#This Row],[Ausdauer00]]=$I$4,MID(AuswDipl0[[#This Row],[Ausdauer0]],FIND(" ",AuswDipl0[[#This Row],[Ausdauer0]],1)+1,LEN(AuswDipl0[[#This Row],[Ausdauer0]])),"")</f>
        <v>nicht durchgeführt</v>
      </c>
      <c r="L11" s="254" t="str">
        <f ca="1">IF(AuswDipl0[[#This Row],[Ausdauer000]]=Stammdaten!$AY$27,AuswDipl0[[#This Row],[Ausdauer000]],"")</f>
        <v>nicht durchgeführt</v>
      </c>
      <c r="M11" s="254" t="str">
        <f ca="1">IF(VLOOKUP(AuswDipl0[[#This Row],[Nummer]],_Diplom,M$6,FALSE)="",""," "&amp;VLOOKUP(AuswDipl0[[#This Row],[Nummer]],_Diplom,M$6,FALSE))</f>
        <v/>
      </c>
      <c r="N11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1" s="254" t="str">
        <f ca="1">IF(VLOOKUP(AuswDipl0[[#This Row],[Nummer]],_Diplom,O$6,FALSE)&lt;&gt;"","("&amp;VLOOKUP(AuswDipl0[[#This Row],[Nummer]],_Diplom,O$6,FALSE)&amp;")","")</f>
        <v/>
      </c>
      <c r="P11" s="254" t="str">
        <f ca="1">VLOOKUP(AuswDipl0[[#This Row],[Nummer]],_Diplom,P$6,FALSE)</f>
        <v>Sprungdisziplinen nicht durchgeführt</v>
      </c>
      <c r="Q11" s="254" t="str">
        <f ca="1">IFERROR(VLOOKUP(AuswDipl0[[#This Row],[Sprung0]],INDIRECT($A$2),1,0),$P$4)</f>
        <v>Sprungdisziplinen</v>
      </c>
      <c r="R11" s="254" t="str">
        <f ca="1">IF(AuswDipl0[[#This Row],[Sprung00]]=$P$4,MID(AuswDipl0[[#This Row],[Sprung0]],FIND(" ",AuswDipl0[[#This Row],[Sprung0]],1)+1,LEN(AuswDipl0[[#This Row],[Sprung0]])),"")</f>
        <v>nicht durchgeführt</v>
      </c>
      <c r="S11" s="254" t="str">
        <f ca="1">IF(AuswDipl0[[#This Row],[Sprung000]]=Stammdaten!$AY$27,AuswDipl0[[#This Row],[Sprung000]],"")</f>
        <v>nicht durchgeführt</v>
      </c>
      <c r="T11" s="254" t="str">
        <f ca="1">IF(VLOOKUP(AuswDipl0[[#This Row],[Nummer]],_Diplom,T$6,FALSE)="",""," "&amp;VLOOKUP(AuswDipl0[[#This Row],[Nummer]],_Diplom,T$6,FALSE))</f>
        <v/>
      </c>
      <c r="U11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1" s="254" t="str">
        <f ca="1">IF(VLOOKUP(AuswDipl0[[#This Row],[Nummer]],_Diplom,V$6,FALSE)&lt;&gt;"","("&amp;VLOOKUP(AuswDipl0[[#This Row],[Nummer]],_Diplom,V$6,FALSE)&amp;")","")</f>
        <v/>
      </c>
      <c r="W11" s="254" t="str">
        <f ca="1">VLOOKUP(AuswDipl0[[#This Row],[Nummer]],_Diplom,W$6,FALSE)</f>
        <v>Wurfdisziplinen nicht durchgeführt</v>
      </c>
      <c r="X11" s="254" t="str">
        <f ca="1">IFERROR(VLOOKUP(AuswDipl0[[#This Row],[Wurf0]],INDIRECT($A$2),1,0),$W$4)</f>
        <v>Wurfdisziplinen</v>
      </c>
      <c r="Y11" s="254" t="str">
        <f ca="1">IF(AuswDipl0[[#This Row],[Wurf00]]=$W$4,MID(AuswDipl0[[#This Row],[Wurf0]],FIND(" ",AuswDipl0[[#This Row],[Wurf0]],1)+1,LEN(AuswDipl0[[#This Row],[Wurf0]])),"")</f>
        <v>nicht durchgeführt</v>
      </c>
      <c r="Z11" s="254" t="str">
        <f ca="1">IF(AuswDipl0[[#This Row],[Wurf000]]=Stammdaten!$AY$27,AuswDipl0[[#This Row],[Wurf000]],"")</f>
        <v>nicht durchgeführt</v>
      </c>
      <c r="AA11" s="254" t="str">
        <f ca="1">IF(VLOOKUP(AuswDipl0[[#This Row],[Nummer]],_Diplom,AA$6,FALSE)="",""," "&amp;VLOOKUP(AuswDipl0[[#This Row],[Nummer]],_Diplom,AA$6,FALSE))</f>
        <v/>
      </c>
      <c r="AB11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1" s="254" t="str">
        <f ca="1">IF(VLOOKUP(AuswDipl0[[#This Row],[Nummer]],_Diplom,AC$6,FALSE)&lt;&gt;"","("&amp;VLOOKUP(AuswDipl0[[#This Row],[Nummer]],_Diplom,AC$6,FALSE)&amp;")","")</f>
        <v/>
      </c>
      <c r="AD11" s="254" t="str">
        <f ca="1">IF(AuswDipl0[[#This Row],[ErGe_Höchst]]&lt;&gt;"",VLOOKUP(AuswDipl0[[#This Row],[Nummer]],_Diplom,$AD$6,FALSE),VLOOKUP(AuswDipl0[[#This Row],[Nummer]],_Diplom,$AD$6,FALSE))</f>
        <v>Erstes Gerät</v>
      </c>
      <c r="AE11" s="254" t="str">
        <f ca="1">VLOOKUP(AuswDipl0[[#This Row],[Nummer]],_Diplom,$AE$6,FALSE)</f>
        <v>nicht durchgeführt</v>
      </c>
      <c r="AF11" s="254" t="str">
        <f ca="1">IF(AuswDipl0[[#This Row],[ErGe_Höchst]]&lt;&gt;"",AuswDipl0[[#This Row],[ErGe_Höchst]],AuswDipl0[[#This Row],[ErGe_Txt2]])</f>
        <v>nicht durchgeführt</v>
      </c>
      <c r="AG11" s="254" t="str">
        <f ca="1">VLOOKUP(AuswDipl0[[#This Row],[Nummer]],_Diplom,$AG$6,FALSE)</f>
        <v/>
      </c>
      <c r="AH11" s="254" t="str">
        <f>VLOOKUP(AuswDipl0[[#This Row],[Nummer]],_Diplom,$AH$6,FALSE)</f>
        <v/>
      </c>
      <c r="AI11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1" s="254" t="str">
        <f ca="1">VLOOKUP(AuswDipl0[[#This Row],[Nummer]],_Diplom,$AJ$6,FALSE)</f>
        <v/>
      </c>
      <c r="AK11" s="254" t="str">
        <f ca="1">IF(AuswDipl0[[#This Row],[ZwGe_Höchst]]&lt;&gt;"",VLOOKUP(AuswDipl0[[#This Row],[Nummer]],_Diplom,$AK$6,FALSE),VLOOKUP(AuswDipl0[[#This Row],[Nummer]],_Diplom,$AK$6,FALSE))</f>
        <v>Zweites Gerät</v>
      </c>
      <c r="AL11" s="254" t="str">
        <f ca="1">VLOOKUP(AuswDipl0[[#This Row],[Nummer]],_Diplom,$AL$6,FALSE)</f>
        <v>nicht durchgeführt</v>
      </c>
      <c r="AM11" s="278" t="str">
        <f ca="1">IF(AuswDipl0[[#This Row],[ZwGe_Höchst]]&lt;&gt;"",AuswDipl0[[#This Row],[ZwGe_Höchst]],AuswDipl0[[#This Row],[ZwGe_Txt2]])</f>
        <v>nicht durchgeführt</v>
      </c>
      <c r="AN11" s="254" t="str">
        <f ca="1">VLOOKUP(AuswDipl0[[#This Row],[Nummer]],_Diplom,$AN$6,FALSE)</f>
        <v/>
      </c>
      <c r="AO11" s="254" t="str">
        <f>VLOOKUP(AuswDipl0[[#This Row],[Nummer]],_Diplom,$AO$6,FALSE)</f>
        <v/>
      </c>
      <c r="AP11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1" s="254" t="str">
        <f ca="1">VLOOKUP(AuswDipl0[[#This Row],[Nummer]],_Diplom,$AQ$6,FALSE)</f>
        <v/>
      </c>
      <c r="AR11" s="254" t="str">
        <f ca="1">IF(AuswDipl0[[#This Row],[DrGe_Höchst]]&lt;&gt;"",VLOOKUP(AuswDipl0[[#This Row],[Nummer]],_Diplom,$AR$6,FALSE),VLOOKUP(AuswDipl0[[#This Row],[Nummer]],_Diplom,$AR$6,FALSE))</f>
        <v>Drittes Gerät</v>
      </c>
      <c r="AS11" s="254" t="str">
        <f ca="1">VLOOKUP(AuswDipl0[[#This Row],[Nummer]],_Diplom,$AS$6,FALSE)</f>
        <v>nicht durchgeführt</v>
      </c>
      <c r="AT11" s="254" t="str">
        <f ca="1">IF(AuswDipl0[[#This Row],[DrGe_Höchst]]&lt;&gt;"",AuswDipl0[[#This Row],[DrGe_Höchst]],AuswDipl0[[#This Row],[DrGe_Txt2]])</f>
        <v>nicht durchgeführt</v>
      </c>
      <c r="AU11" s="254" t="str">
        <f ca="1">VLOOKUP(AuswDipl0[[#This Row],[Nummer]],_Diplom,$AU$6,FALSE)</f>
        <v/>
      </c>
      <c r="AV11" s="254" t="str">
        <f>VLOOKUP(AuswDipl0[[#This Row],[Nummer]],_Diplom,$AV$6,FALSE)</f>
        <v/>
      </c>
      <c r="AW11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1" s="254" t="str">
        <f ca="1">VLOOKUP(AuswDipl0[[#This Row],[Nummer]],_Diplom,$AX$6,FALSE)</f>
        <v/>
      </c>
      <c r="AY11" s="254" t="str">
        <f t="shared" si="0"/>
        <v>Parkour</v>
      </c>
      <c r="AZ11" s="254">
        <f ca="1">INDEX(INDIRECT($AZ$2),AuswDipl0[[#This Row],[Nummer]])</f>
        <v>0</v>
      </c>
      <c r="BA11" s="254" t="str">
        <f ca="1">IFERROR(IF(AuswDipl0[[#This Row],[ParkourPkte0]]&gt;0," "&amp;INDEX(INDIRECT($BA$2),MATCH($AY$1,INDIRECT($A$2),0)),""),"")</f>
        <v/>
      </c>
      <c r="BB11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1" s="254" t="str">
        <f ca="1">IF(AuswDipl0[[#This Row],[ParkourMax]]&lt;&gt;"",AuswDipl0[[#This Row],[ParkourMax]],Stammdaten!$AY$27)</f>
        <v>nicht durchgeführt</v>
      </c>
      <c r="BD11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1" s="254" t="str">
        <f ca="1">IF(AuswDipl0[[#This Row],[ParkourPkte1]]="","",VLOOKUP(AuswDipl0[[#This Row],[Nummer]],_Diplom,BE$6,FALSE))</f>
        <v/>
      </c>
      <c r="BF11" s="254" t="str">
        <f ca="1">VLOOKUP(AuswDipl0[[#This Row],[Nummer]],_Diplom,BF$6,FALSE)</f>
        <v>Darstellen und Tanzen</v>
      </c>
      <c r="BG11" s="254" t="str">
        <f ca="1">VLOOKUP(AuswDipl0[[#This Row],[Nummer]],_Diplom,BG$6,FALSE)</f>
        <v>nicht durchgeführt</v>
      </c>
      <c r="BH11" s="254" t="str">
        <f ca="1">IF(AuswDipl0[[#This Row],[BS_3_Max]]&lt;&gt;"",AuswDipl0[[#This Row],[BS_3_Max]],AuswDipl0[[#This Row],[BS_3_Txt1]])</f>
        <v>nicht durchgeführt</v>
      </c>
      <c r="BI11" s="254" t="str">
        <f ca="1">IF(VLOOKUP(AuswDipl0[[#This Row],[Nummer]],_Diplom,BI$6,FALSE)="","",VLOOKUP(AuswDipl0[[#This Row],[Nummer]],_Diplom,BI$6,FALSE))</f>
        <v/>
      </c>
      <c r="BJ11" s="254" t="str">
        <f ca="1">IF(AuswDipl0[[#This Row],[BS_3_Txt1]]=Stammdaten!$AX$19,AuswDipl0[[#This Row],[BS_3_Txt1]],AuswDipl0[[#This Row],[BS_3_Pkte0]]&amp;AuswDipl0[[#This Row],[BS_3_Mass]])</f>
        <v/>
      </c>
      <c r="BK11" s="254" t="str">
        <f ca="1">IFERROR(" "&amp;INDEX(INDIRECT($BK$2),MATCH(AuswDipl0[[#This Row],[BS_3_Txt0]],INDIRECT($A$2),0)),"")</f>
        <v/>
      </c>
      <c r="BL11" s="254" t="str">
        <f ca="1">VLOOKUP(AuswDipl0[[#This Row],[Nummer]],_Diplom,BL$6,FALSE)</f>
        <v/>
      </c>
      <c r="BM11" s="254" t="str">
        <f ca="1">IF(AuswDipl0[[#This Row],[ErSp_Höchst]]&lt;&gt;"",VLOOKUP(AuswDipl0[[#This Row],[Nummer]],_Diplom,$BM$6,FALSE),VLOOKUP(AuswDipl0[[#This Row],[Nummer]],_Diplom,$BM$6,FALSE))</f>
        <v>Erste Spielsportart</v>
      </c>
      <c r="BN11" s="254" t="str">
        <f ca="1">VLOOKUP(AuswDipl0[[#This Row],[Nummer]],_Diplom,$BN$6,FALSE)</f>
        <v>nicht durchgeführt</v>
      </c>
      <c r="BO11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1" s="254" t="str">
        <f ca="1">VLOOKUP(AuswDipl0[[#This Row],[Nummer]],_Diplom,$BP$6,FALSE)</f>
        <v/>
      </c>
      <c r="BQ11" s="254" t="str">
        <f ca="1">VLOOKUP(AuswDipl0[[#This Row],[Nummer]],_Diplom,$BQ$6,FALSE)</f>
        <v/>
      </c>
      <c r="BR11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1" s="254" t="str">
        <f ca="1">VLOOKUP(AuswDipl0[[#This Row],[Nummer]],_Diplom,$BS$6,FALSE)</f>
        <v/>
      </c>
      <c r="BT11" s="254" t="str">
        <f ca="1">VLOOKUP(AuswDipl0[[#This Row],[Nummer]],_Diplom,$BT$6,FALSE)</f>
        <v/>
      </c>
      <c r="BU11" s="254" t="str">
        <f ca="1">IF(AuswDipl0[[#This Row],[ZwSp_Höchst]]&lt;&gt;"",VLOOKUP(AuswDipl0[[#This Row],[Nummer]],_Diplom,$BU$6,FALSE),VLOOKUP(AuswDipl0[[#This Row],[Nummer]],_Diplom,$BU$6,FALSE))</f>
        <v>Zweite Spielsportart</v>
      </c>
      <c r="BV11" s="254" t="str">
        <f ca="1">VLOOKUP(AuswDipl0[[#This Row],[Nummer]],_Diplom,$BV$6,FALSE)</f>
        <v>nicht durchgeführt</v>
      </c>
      <c r="BW11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1" s="254" t="str">
        <f ca="1">VLOOKUP(AuswDipl0[[#This Row],[Nummer]],_Diplom,$BX$6,FALSE)</f>
        <v/>
      </c>
      <c r="BY11" s="254" t="str">
        <f ca="1">VLOOKUP(AuswDipl0[[#This Row],[Nummer]],_Diplom,$BY$6,FALSE)</f>
        <v/>
      </c>
      <c r="BZ11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1" s="254" t="str">
        <f ca="1">VLOOKUP(AuswDipl0[[#This Row],[Nummer]],_Diplom,$CA$6,FALSE)</f>
        <v/>
      </c>
      <c r="CB11" s="254" t="str">
        <f ca="1">VLOOKUP(AuswDipl0[[#This Row],[Nummer]],_Diplom,$CB$6,FALSE)</f>
        <v/>
      </c>
      <c r="CC11" s="254" t="str">
        <f ca="1">IF(AuswDipl0[[#This Row],[DrSp_Höchst]]&lt;&gt;"",VLOOKUP(AuswDipl0[[#This Row],[Nummer]],_Diplom,$CC$6,FALSE),VLOOKUP(AuswDipl0[[#This Row],[Nummer]],_Diplom,$CC$6,FALSE))</f>
        <v>Dritte Spielsportart</v>
      </c>
      <c r="CD11" s="254" t="str">
        <f ca="1">VLOOKUP(AuswDipl0[[#This Row],[Nummer]],_Diplom,$CD$6,FALSE)</f>
        <v>nicht durchgeführt</v>
      </c>
      <c r="CE11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1" s="254" t="str">
        <f ca="1">VLOOKUP(AuswDipl0[[#This Row],[Nummer]],_Diplom,$CF$6,FALSE)</f>
        <v/>
      </c>
      <c r="CG11" s="254" t="str">
        <f ca="1">VLOOKUP(AuswDipl0[[#This Row],[Nummer]],_Diplom,$CG$6,FALSE)</f>
        <v/>
      </c>
      <c r="CH11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1" s="254" t="str">
        <f ca="1">VLOOKUP(AuswDipl0[[#This Row],[Nummer]],_Diplom,$CI$6,FALSE)</f>
        <v/>
      </c>
      <c r="CJ11" s="254" t="str">
        <f ca="1">VLOOKUP(AuswDipl0[[#This Row],[Nummer]],_Diplom,$CJ$6,FALSE)</f>
        <v/>
      </c>
      <c r="CK11" s="254" t="str">
        <f ca="1">VLOOKUP(AuswDipl0[[#This Row],[Nummer]],_Diplom,CK$6,FALSE)</f>
        <v>Zu wenige Noten</v>
      </c>
      <c r="CL11" s="254">
        <f ca="1">VLOOKUP(AuswDipl0[[#This Row],[Nummer]],_Diplom,CL$6,FALSE)</f>
        <v>0</v>
      </c>
      <c r="CM11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1" s="254">
        <f ca="1">IFERROR(INDEX(INDIRECT($CN$4),MATCH(AuswDipl0[[#This Row],[BS_1_Med]],INDIRECT($CN$3),0)),6)</f>
        <v>6</v>
      </c>
      <c r="CO11" s="254" t="str">
        <f ca="1">VLOOKUP(AuswDipl0[[#This Row],[Nummer]],_Diplom,CO$6,FALSE)</f>
        <v>Zu wenige Noten</v>
      </c>
      <c r="CP11" s="254">
        <f>VLOOKUP(AuswDipl0[[#This Row],[Nummer]],_Diplom,CP$6,FALSE)</f>
        <v>0</v>
      </c>
      <c r="CQ11" s="254">
        <f ca="1">VLOOKUP(AuswDipl0[[#This Row],[Nummer]],_Diplom,CQ$6,FALSE)</f>
        <v>0</v>
      </c>
      <c r="CR11" s="254">
        <f ca="1">IF(AND(AuswDipl0[[#This Row],[BS_2_AnzGer]]&gt;=$CP$2,AND(ISNUMBER(AuswDipl0[[#This Row],[BS_2_Park]]),AuswDipl0[[#This Row],[BS_2_Park]]&gt;0)),1,0)</f>
        <v>0</v>
      </c>
      <c r="CS11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1" s="254">
        <f ca="1">IFERROR(INDEX(INDIRECT($CT$4),MATCH(AuswDipl0[[#This Row],[BS_2_Med]],INDIRECT($CT$3),0)),6)</f>
        <v>6</v>
      </c>
      <c r="CU11" s="254" t="str">
        <f ca="1">VLOOKUP(AuswDipl0[[#This Row],[Nummer]],_Diplom,CU$6,FALSE)</f>
        <v>Zu wenige Noten</v>
      </c>
      <c r="CV11" s="254">
        <f ca="1">IF(AuswDipl0[[#This Row],[BS_3_Erg]]=INDEX(StdFehler[StdFehler],4),0,IF(AuswDipl0[[#This Row],[BS_3_Erg]]=Stammdaten!$AX$19,Stammdaten!$AX$19,VALUE(AuswDipl0[[#This Row],[BS_3_Erg]])))</f>
        <v>0</v>
      </c>
      <c r="CW11" s="254" t="str">
        <f ca="1">IF(AuswDipl0[[#This Row],[BS_3_x]]=0,"",INDEX(INDIRECT(CW$4),MATCH(AuswDipl0[[#This Row],[BS_3_x]],INDIRECT(CW$3),0)))</f>
        <v/>
      </c>
      <c r="CX11" s="254">
        <f ca="1">IFERROR(INDEX(INDIRECT($CX$4),MATCH(AuswDipl0[[#This Row],[BS_3_Med]],INDIRECT($CX$3),0)),6)</f>
        <v>6</v>
      </c>
      <c r="CY11" s="254" t="str">
        <f ca="1">VLOOKUP(AuswDipl0[[#This Row],[Nummer]],_Diplom,CY$6,FALSE)</f>
        <v>Zu wenige Noten</v>
      </c>
      <c r="CZ11" s="254">
        <f ca="1">VLOOKUP(AuswDipl0[[#This Row],[Nummer]],_Diplom,CZ$6,FALSE)</f>
        <v>0</v>
      </c>
      <c r="DA11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1" s="254">
        <f ca="1">IFERROR(INDEX(INDIRECT($DB$4),MATCH(AuswDipl0[[#This Row],[BS_4_Med]],INDIRECT($DB$3),0)),6)</f>
        <v>6</v>
      </c>
    </row>
    <row r="12" spans="1:106" ht="12" customHeight="1" x14ac:dyDescent="0.25">
      <c r="A12" s="254">
        <v>6</v>
      </c>
      <c r="B12" s="254" t="str">
        <f ca="1">VLOOKUP(AuswDipl0[[#This Row],[Nummer]],_Diplom,B$6,FALSE)</f>
        <v>Sprintdisziplinen nicht durchgeführt</v>
      </c>
      <c r="C12" s="254" t="str">
        <f ca="1">IFERROR(VLOOKUP(AuswDipl0[[#This Row],[Sprint0]],INDIRECT($A$2),1,0),$B$4)</f>
        <v>Sprintdisziplinen</v>
      </c>
      <c r="D12" s="254" t="str">
        <f ca="1">IF(AuswDipl0[[#This Row],[Sprint00]]=$B$4,MID(AuswDipl0[[#This Row],[Sprint0]],FIND(" ",AuswDipl0[[#This Row],[Sprint0]],1)+1,LEN(AuswDipl0[[#This Row],[Sprint0]])),"")</f>
        <v>nicht durchgeführt</v>
      </c>
      <c r="E12" s="254" t="str">
        <f ca="1">IF(AuswDipl0[[#This Row],[Sprint000]]=Stammdaten!$AY$27,AuswDipl0[[#This Row],[Sprint000]],"")</f>
        <v>nicht durchgeführt</v>
      </c>
      <c r="F12" s="254" t="str">
        <f ca="1">IF(VLOOKUP(AuswDipl0[[#This Row],[Nummer]],_Diplom,F$6,FALSE)="",""," "&amp;VLOOKUP(AuswDipl0[[#This Row],[Nummer]],_Diplom,F$6,FALSE))</f>
        <v/>
      </c>
      <c r="G12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2" s="254" t="str">
        <f ca="1">IF(VLOOKUP(AuswDipl0[[#This Row],[Nummer]],_Diplom,H$6,FALSE)&lt;&gt;"","("&amp;VLOOKUP(AuswDipl0[[#This Row],[Nummer]],_Diplom,H$6,FALSE)&amp;")","")</f>
        <v/>
      </c>
      <c r="I12" s="254" t="str">
        <f ca="1">VLOOKUP(AuswDipl0[[#This Row],[Nummer]],_Diplom,I$6,FALSE)</f>
        <v>Ausdauerdisziplinen nicht durchgeführt</v>
      </c>
      <c r="J12" s="254" t="str">
        <f ca="1">IFERROR(VLOOKUP(AuswDipl0[[#This Row],[Ausdauer0]],INDIRECT($A$2),1,0),$I$4)</f>
        <v>Ausdauerdisziplinen</v>
      </c>
      <c r="K12" s="254" t="str">
        <f ca="1">IF(AuswDipl0[[#This Row],[Ausdauer00]]=$I$4,MID(AuswDipl0[[#This Row],[Ausdauer0]],FIND(" ",AuswDipl0[[#This Row],[Ausdauer0]],1)+1,LEN(AuswDipl0[[#This Row],[Ausdauer0]])),"")</f>
        <v>nicht durchgeführt</v>
      </c>
      <c r="L12" s="254" t="str">
        <f ca="1">IF(AuswDipl0[[#This Row],[Ausdauer000]]=Stammdaten!$AY$27,AuswDipl0[[#This Row],[Ausdauer000]],"")</f>
        <v>nicht durchgeführt</v>
      </c>
      <c r="M12" s="254" t="str">
        <f ca="1">IF(VLOOKUP(AuswDipl0[[#This Row],[Nummer]],_Diplom,M$6,FALSE)="",""," "&amp;VLOOKUP(AuswDipl0[[#This Row],[Nummer]],_Diplom,M$6,FALSE))</f>
        <v/>
      </c>
      <c r="N12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2" s="254" t="str">
        <f ca="1">IF(VLOOKUP(AuswDipl0[[#This Row],[Nummer]],_Diplom,O$6,FALSE)&lt;&gt;"","("&amp;VLOOKUP(AuswDipl0[[#This Row],[Nummer]],_Diplom,O$6,FALSE)&amp;")","")</f>
        <v/>
      </c>
      <c r="P12" s="254" t="str">
        <f ca="1">VLOOKUP(AuswDipl0[[#This Row],[Nummer]],_Diplom,P$6,FALSE)</f>
        <v>Sprungdisziplinen nicht durchgeführt</v>
      </c>
      <c r="Q12" s="254" t="str">
        <f ca="1">IFERROR(VLOOKUP(AuswDipl0[[#This Row],[Sprung0]],INDIRECT($A$2),1,0),$P$4)</f>
        <v>Sprungdisziplinen</v>
      </c>
      <c r="R12" s="254" t="str">
        <f ca="1">IF(AuswDipl0[[#This Row],[Sprung00]]=$P$4,MID(AuswDipl0[[#This Row],[Sprung0]],FIND(" ",AuswDipl0[[#This Row],[Sprung0]],1)+1,LEN(AuswDipl0[[#This Row],[Sprung0]])),"")</f>
        <v>nicht durchgeführt</v>
      </c>
      <c r="S12" s="254" t="str">
        <f ca="1">IF(AuswDipl0[[#This Row],[Sprung000]]=Stammdaten!$AY$27,AuswDipl0[[#This Row],[Sprung000]],"")</f>
        <v>nicht durchgeführt</v>
      </c>
      <c r="T12" s="254" t="str">
        <f ca="1">IF(VLOOKUP(AuswDipl0[[#This Row],[Nummer]],_Diplom,T$6,FALSE)="",""," "&amp;VLOOKUP(AuswDipl0[[#This Row],[Nummer]],_Diplom,T$6,FALSE))</f>
        <v/>
      </c>
      <c r="U12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2" s="254" t="str">
        <f ca="1">IF(VLOOKUP(AuswDipl0[[#This Row],[Nummer]],_Diplom,V$6,FALSE)&lt;&gt;"","("&amp;VLOOKUP(AuswDipl0[[#This Row],[Nummer]],_Diplom,V$6,FALSE)&amp;")","")</f>
        <v/>
      </c>
      <c r="W12" s="254" t="str">
        <f ca="1">VLOOKUP(AuswDipl0[[#This Row],[Nummer]],_Diplom,W$6,FALSE)</f>
        <v>Wurfdisziplinen nicht durchgeführt</v>
      </c>
      <c r="X12" s="254" t="str">
        <f ca="1">IFERROR(VLOOKUP(AuswDipl0[[#This Row],[Wurf0]],INDIRECT($A$2),1,0),$W$4)</f>
        <v>Wurfdisziplinen</v>
      </c>
      <c r="Y12" s="254" t="str">
        <f ca="1">IF(AuswDipl0[[#This Row],[Wurf00]]=$W$4,MID(AuswDipl0[[#This Row],[Wurf0]],FIND(" ",AuswDipl0[[#This Row],[Wurf0]],1)+1,LEN(AuswDipl0[[#This Row],[Wurf0]])),"")</f>
        <v>nicht durchgeführt</v>
      </c>
      <c r="Z12" s="254" t="str">
        <f ca="1">IF(AuswDipl0[[#This Row],[Wurf000]]=Stammdaten!$AY$27,AuswDipl0[[#This Row],[Wurf000]],"")</f>
        <v>nicht durchgeführt</v>
      </c>
      <c r="AA12" s="254" t="str">
        <f ca="1">IF(VLOOKUP(AuswDipl0[[#This Row],[Nummer]],_Diplom,AA$6,FALSE)="",""," "&amp;VLOOKUP(AuswDipl0[[#This Row],[Nummer]],_Diplom,AA$6,FALSE))</f>
        <v/>
      </c>
      <c r="AB12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2" s="254" t="str">
        <f ca="1">IF(VLOOKUP(AuswDipl0[[#This Row],[Nummer]],_Diplom,AC$6,FALSE)&lt;&gt;"","("&amp;VLOOKUP(AuswDipl0[[#This Row],[Nummer]],_Diplom,AC$6,FALSE)&amp;")","")</f>
        <v/>
      </c>
      <c r="AD12" s="254" t="str">
        <f ca="1">IF(AuswDipl0[[#This Row],[ErGe_Höchst]]&lt;&gt;"",VLOOKUP(AuswDipl0[[#This Row],[Nummer]],_Diplom,$AD$6,FALSE),VLOOKUP(AuswDipl0[[#This Row],[Nummer]],_Diplom,$AD$6,FALSE))</f>
        <v>Erstes Gerät</v>
      </c>
      <c r="AE12" s="254" t="str">
        <f ca="1">VLOOKUP(AuswDipl0[[#This Row],[Nummer]],_Diplom,$AE$6,FALSE)</f>
        <v>nicht durchgeführt</v>
      </c>
      <c r="AF12" s="254" t="str">
        <f ca="1">IF(AuswDipl0[[#This Row],[ErGe_Höchst]]&lt;&gt;"",AuswDipl0[[#This Row],[ErGe_Höchst]],AuswDipl0[[#This Row],[ErGe_Txt2]])</f>
        <v>nicht durchgeführt</v>
      </c>
      <c r="AG12" s="254" t="str">
        <f ca="1">VLOOKUP(AuswDipl0[[#This Row],[Nummer]],_Diplom,$AG$6,FALSE)</f>
        <v/>
      </c>
      <c r="AH12" s="254" t="str">
        <f>VLOOKUP(AuswDipl0[[#This Row],[Nummer]],_Diplom,$AH$6,FALSE)</f>
        <v/>
      </c>
      <c r="AI12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2" s="254" t="str">
        <f ca="1">VLOOKUP(AuswDipl0[[#This Row],[Nummer]],_Diplom,$AJ$6,FALSE)</f>
        <v/>
      </c>
      <c r="AK12" s="254" t="str">
        <f ca="1">IF(AuswDipl0[[#This Row],[ZwGe_Höchst]]&lt;&gt;"",VLOOKUP(AuswDipl0[[#This Row],[Nummer]],_Diplom,$AK$6,FALSE),VLOOKUP(AuswDipl0[[#This Row],[Nummer]],_Diplom,$AK$6,FALSE))</f>
        <v>Zweites Gerät</v>
      </c>
      <c r="AL12" s="254" t="str">
        <f ca="1">VLOOKUP(AuswDipl0[[#This Row],[Nummer]],_Diplom,$AL$6,FALSE)</f>
        <v>nicht durchgeführt</v>
      </c>
      <c r="AM12" s="254" t="str">
        <f ca="1">IF(AuswDipl0[[#This Row],[ZwGe_Höchst]]&lt;&gt;"",AuswDipl0[[#This Row],[ZwGe_Höchst]],AuswDipl0[[#This Row],[ZwGe_Txt2]])</f>
        <v>nicht durchgeführt</v>
      </c>
      <c r="AN12" s="254" t="str">
        <f ca="1">VLOOKUP(AuswDipl0[[#This Row],[Nummer]],_Diplom,$AN$6,FALSE)</f>
        <v/>
      </c>
      <c r="AO12" s="254" t="str">
        <f>VLOOKUP(AuswDipl0[[#This Row],[Nummer]],_Diplom,$AO$6,FALSE)</f>
        <v/>
      </c>
      <c r="AP12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2" s="254" t="str">
        <f ca="1">VLOOKUP(AuswDipl0[[#This Row],[Nummer]],_Diplom,$AQ$6,FALSE)</f>
        <v/>
      </c>
      <c r="AR12" s="254" t="str">
        <f ca="1">IF(AuswDipl0[[#This Row],[DrGe_Höchst]]&lt;&gt;"",VLOOKUP(AuswDipl0[[#This Row],[Nummer]],_Diplom,$AR$6,FALSE),VLOOKUP(AuswDipl0[[#This Row],[Nummer]],_Diplom,$AR$6,FALSE))</f>
        <v>Drittes Gerät</v>
      </c>
      <c r="AS12" s="254" t="str">
        <f ca="1">VLOOKUP(AuswDipl0[[#This Row],[Nummer]],_Diplom,$AS$6,FALSE)</f>
        <v>nicht durchgeführt</v>
      </c>
      <c r="AT12" s="254" t="str">
        <f ca="1">IF(AuswDipl0[[#This Row],[DrGe_Höchst]]&lt;&gt;"",AuswDipl0[[#This Row],[DrGe_Höchst]],AuswDipl0[[#This Row],[DrGe_Txt2]])</f>
        <v>nicht durchgeführt</v>
      </c>
      <c r="AU12" s="254" t="str">
        <f ca="1">VLOOKUP(AuswDipl0[[#This Row],[Nummer]],_Diplom,$AU$6,FALSE)</f>
        <v/>
      </c>
      <c r="AV12" s="254" t="str">
        <f>VLOOKUP(AuswDipl0[[#This Row],[Nummer]],_Diplom,$AV$6,FALSE)</f>
        <v/>
      </c>
      <c r="AW12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2" s="254" t="str">
        <f ca="1">VLOOKUP(AuswDipl0[[#This Row],[Nummer]],_Diplom,$AX$6,FALSE)</f>
        <v/>
      </c>
      <c r="AY12" s="254" t="str">
        <f t="shared" si="0"/>
        <v>Parkour</v>
      </c>
      <c r="AZ12" s="254">
        <f ca="1">INDEX(INDIRECT($AZ$2),AuswDipl0[[#This Row],[Nummer]])</f>
        <v>0</v>
      </c>
      <c r="BA12" s="254" t="str">
        <f ca="1">IFERROR(IF(AuswDipl0[[#This Row],[ParkourPkte0]]&gt;0," "&amp;INDEX(INDIRECT($BA$2),MATCH($AY$1,INDIRECT($A$2),0)),""),"")</f>
        <v/>
      </c>
      <c r="BB12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2" s="254" t="str">
        <f ca="1">IF(AuswDipl0[[#This Row],[ParkourMax]]&lt;&gt;"",AuswDipl0[[#This Row],[ParkourMax]],Stammdaten!$AY$27)</f>
        <v>nicht durchgeführt</v>
      </c>
      <c r="BD12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2" s="254" t="str">
        <f ca="1">IF(AuswDipl0[[#This Row],[ParkourPkte1]]="","",VLOOKUP(AuswDipl0[[#This Row],[Nummer]],_Diplom,BE$6,FALSE))</f>
        <v/>
      </c>
      <c r="BF12" s="254" t="str">
        <f ca="1">VLOOKUP(AuswDipl0[[#This Row],[Nummer]],_Diplom,BF$6,FALSE)</f>
        <v>Darstellen und Tanzen</v>
      </c>
      <c r="BG12" s="254" t="str">
        <f ca="1">VLOOKUP(AuswDipl0[[#This Row],[Nummer]],_Diplom,BG$6,FALSE)</f>
        <v>nicht durchgeführt</v>
      </c>
      <c r="BH12" s="254" t="str">
        <f ca="1">IF(AuswDipl0[[#This Row],[BS_3_Max]]&lt;&gt;"",AuswDipl0[[#This Row],[BS_3_Max]],AuswDipl0[[#This Row],[BS_3_Txt1]])</f>
        <v>nicht durchgeführt</v>
      </c>
      <c r="BI12" s="254" t="str">
        <f ca="1">IF(VLOOKUP(AuswDipl0[[#This Row],[Nummer]],_Diplom,BI$6,FALSE)="","",VLOOKUP(AuswDipl0[[#This Row],[Nummer]],_Diplom,BI$6,FALSE))</f>
        <v/>
      </c>
      <c r="BJ12" s="254" t="str">
        <f ca="1">IF(AuswDipl0[[#This Row],[BS_3_Txt1]]=Stammdaten!$AX$19,AuswDipl0[[#This Row],[BS_3_Txt1]],AuswDipl0[[#This Row],[BS_3_Pkte0]]&amp;AuswDipl0[[#This Row],[BS_3_Mass]])</f>
        <v/>
      </c>
      <c r="BK12" s="254" t="str">
        <f ca="1">IFERROR(" "&amp;INDEX(INDIRECT($BK$2),MATCH(AuswDipl0[[#This Row],[BS_3_Txt0]],INDIRECT($A$2),0)),"")</f>
        <v/>
      </c>
      <c r="BL12" s="254" t="str">
        <f ca="1">VLOOKUP(AuswDipl0[[#This Row],[Nummer]],_Diplom,BL$6,FALSE)</f>
        <v/>
      </c>
      <c r="BM12" s="254" t="str">
        <f ca="1">IF(AuswDipl0[[#This Row],[ErSp_Höchst]]&lt;&gt;"",VLOOKUP(AuswDipl0[[#This Row],[Nummer]],_Diplom,$BM$6,FALSE),VLOOKUP(AuswDipl0[[#This Row],[Nummer]],_Diplom,$BM$6,FALSE))</f>
        <v>Erste Spielsportart</v>
      </c>
      <c r="BN12" s="254" t="str">
        <f ca="1">VLOOKUP(AuswDipl0[[#This Row],[Nummer]],_Diplom,$BN$6,FALSE)</f>
        <v>nicht durchgeführt</v>
      </c>
      <c r="BO12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2" s="254" t="str">
        <f ca="1">VLOOKUP(AuswDipl0[[#This Row],[Nummer]],_Diplom,$BP$6,FALSE)</f>
        <v/>
      </c>
      <c r="BQ12" s="254" t="str">
        <f ca="1">VLOOKUP(AuswDipl0[[#This Row],[Nummer]],_Diplom,$BQ$6,FALSE)</f>
        <v/>
      </c>
      <c r="BR12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2" s="254" t="str">
        <f ca="1">VLOOKUP(AuswDipl0[[#This Row],[Nummer]],_Diplom,$BS$6,FALSE)</f>
        <v/>
      </c>
      <c r="BT12" s="254" t="str">
        <f ca="1">VLOOKUP(AuswDipl0[[#This Row],[Nummer]],_Diplom,$BT$6,FALSE)</f>
        <v/>
      </c>
      <c r="BU12" s="254" t="str">
        <f ca="1">IF(AuswDipl0[[#This Row],[ZwSp_Höchst]]&lt;&gt;"",VLOOKUP(AuswDipl0[[#This Row],[Nummer]],_Diplom,$BU$6,FALSE),VLOOKUP(AuswDipl0[[#This Row],[Nummer]],_Diplom,$BU$6,FALSE))</f>
        <v>Zweite Spielsportart</v>
      </c>
      <c r="BV12" s="254" t="str">
        <f ca="1">VLOOKUP(AuswDipl0[[#This Row],[Nummer]],_Diplom,$BV$6,FALSE)</f>
        <v>nicht durchgeführt</v>
      </c>
      <c r="BW12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2" s="254" t="str">
        <f ca="1">VLOOKUP(AuswDipl0[[#This Row],[Nummer]],_Diplom,$BX$6,FALSE)</f>
        <v/>
      </c>
      <c r="BY12" s="254" t="str">
        <f ca="1">VLOOKUP(AuswDipl0[[#This Row],[Nummer]],_Diplom,$BY$6,FALSE)</f>
        <v/>
      </c>
      <c r="BZ12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2" s="254" t="str">
        <f ca="1">VLOOKUP(AuswDipl0[[#This Row],[Nummer]],_Diplom,$CA$6,FALSE)</f>
        <v/>
      </c>
      <c r="CB12" s="254" t="str">
        <f ca="1">VLOOKUP(AuswDipl0[[#This Row],[Nummer]],_Diplom,$CB$6,FALSE)</f>
        <v/>
      </c>
      <c r="CC12" s="254" t="str">
        <f ca="1">IF(AuswDipl0[[#This Row],[DrSp_Höchst]]&lt;&gt;"",VLOOKUP(AuswDipl0[[#This Row],[Nummer]],_Diplom,$CC$6,FALSE),VLOOKUP(AuswDipl0[[#This Row],[Nummer]],_Diplom,$CC$6,FALSE))</f>
        <v>Dritte Spielsportart</v>
      </c>
      <c r="CD12" s="254" t="str">
        <f ca="1">VLOOKUP(AuswDipl0[[#This Row],[Nummer]],_Diplom,$CD$6,FALSE)</f>
        <v>nicht durchgeführt</v>
      </c>
      <c r="CE12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2" s="254" t="str">
        <f ca="1">VLOOKUP(AuswDipl0[[#This Row],[Nummer]],_Diplom,$CF$6,FALSE)</f>
        <v/>
      </c>
      <c r="CG12" s="254" t="str">
        <f ca="1">VLOOKUP(AuswDipl0[[#This Row],[Nummer]],_Diplom,$CG$6,FALSE)</f>
        <v/>
      </c>
      <c r="CH12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2" s="254" t="str">
        <f ca="1">VLOOKUP(AuswDipl0[[#This Row],[Nummer]],_Diplom,$CI$6,FALSE)</f>
        <v/>
      </c>
      <c r="CJ12" s="254" t="str">
        <f ca="1">VLOOKUP(AuswDipl0[[#This Row],[Nummer]],_Diplom,$CJ$6,FALSE)</f>
        <v/>
      </c>
      <c r="CK12" s="254" t="str">
        <f ca="1">VLOOKUP(AuswDipl0[[#This Row],[Nummer]],_Diplom,CK$6,FALSE)</f>
        <v>Zu wenige Noten</v>
      </c>
      <c r="CL12" s="254">
        <f ca="1">VLOOKUP(AuswDipl0[[#This Row],[Nummer]],_Diplom,CL$6,FALSE)</f>
        <v>0</v>
      </c>
      <c r="CM12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2" s="254">
        <f ca="1">IFERROR(INDEX(INDIRECT($CN$4),MATCH(AuswDipl0[[#This Row],[BS_1_Med]],INDIRECT($CN$3),0)),6)</f>
        <v>6</v>
      </c>
      <c r="CO12" s="254" t="str">
        <f ca="1">VLOOKUP(AuswDipl0[[#This Row],[Nummer]],_Diplom,CO$6,FALSE)</f>
        <v>Zu wenige Noten</v>
      </c>
      <c r="CP12" s="254">
        <f>VLOOKUP(AuswDipl0[[#This Row],[Nummer]],_Diplom,CP$6,FALSE)</f>
        <v>0</v>
      </c>
      <c r="CQ12" s="254">
        <f ca="1">VLOOKUP(AuswDipl0[[#This Row],[Nummer]],_Diplom,CQ$6,FALSE)</f>
        <v>0</v>
      </c>
      <c r="CR12" s="254">
        <f ca="1">IF(AND(AuswDipl0[[#This Row],[BS_2_AnzGer]]&gt;=$CP$2,AND(ISNUMBER(AuswDipl0[[#This Row],[BS_2_Park]]),AuswDipl0[[#This Row],[BS_2_Park]]&gt;0)),1,0)</f>
        <v>0</v>
      </c>
      <c r="CS12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2" s="254">
        <f ca="1">IFERROR(INDEX(INDIRECT($CT$4),MATCH(AuswDipl0[[#This Row],[BS_2_Med]],INDIRECT($CT$3),0)),6)</f>
        <v>6</v>
      </c>
      <c r="CU12" s="254" t="str">
        <f ca="1">VLOOKUP(AuswDipl0[[#This Row],[Nummer]],_Diplom,CU$6,FALSE)</f>
        <v>Zu wenige Noten</v>
      </c>
      <c r="CV12" s="254">
        <f ca="1">IF(AuswDipl0[[#This Row],[BS_3_Erg]]=INDEX(StdFehler[StdFehler],4),0,IF(AuswDipl0[[#This Row],[BS_3_Erg]]=Stammdaten!$AX$19,Stammdaten!$AX$19,VALUE(AuswDipl0[[#This Row],[BS_3_Erg]])))</f>
        <v>0</v>
      </c>
      <c r="CW12" s="254" t="str">
        <f ca="1">IF(AuswDipl0[[#This Row],[BS_3_x]]=0,"",INDEX(INDIRECT(CW$4),MATCH(AuswDipl0[[#This Row],[BS_3_x]],INDIRECT(CW$3),0)))</f>
        <v/>
      </c>
      <c r="CX12" s="254">
        <f ca="1">IFERROR(INDEX(INDIRECT($CX$4),MATCH(AuswDipl0[[#This Row],[BS_3_Med]],INDIRECT($CX$3),0)),6)</f>
        <v>6</v>
      </c>
      <c r="CY12" s="254" t="str">
        <f ca="1">VLOOKUP(AuswDipl0[[#This Row],[Nummer]],_Diplom,CY$6,FALSE)</f>
        <v>Zu wenige Noten</v>
      </c>
      <c r="CZ12" s="254">
        <f ca="1">VLOOKUP(AuswDipl0[[#This Row],[Nummer]],_Diplom,CZ$6,FALSE)</f>
        <v>0</v>
      </c>
      <c r="DA12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2" s="254">
        <f ca="1">IFERROR(INDEX(INDIRECT($DB$4),MATCH(AuswDipl0[[#This Row],[BS_4_Med]],INDIRECT($DB$3),0)),6)</f>
        <v>6</v>
      </c>
    </row>
    <row r="13" spans="1:106" ht="12" customHeight="1" x14ac:dyDescent="0.25">
      <c r="A13" s="254">
        <v>7</v>
      </c>
      <c r="B13" s="254" t="str">
        <f ca="1">VLOOKUP(AuswDipl0[[#This Row],[Nummer]],_Diplom,B$6,FALSE)</f>
        <v>Sprintdisziplinen nicht durchgeführt</v>
      </c>
      <c r="C13" s="254" t="str">
        <f ca="1">IFERROR(VLOOKUP(AuswDipl0[[#This Row],[Sprint0]],INDIRECT($A$2),1,0),$B$4)</f>
        <v>Sprintdisziplinen</v>
      </c>
      <c r="D13" s="254" t="str">
        <f ca="1">IF(AuswDipl0[[#This Row],[Sprint00]]=$B$4,MID(AuswDipl0[[#This Row],[Sprint0]],FIND(" ",AuswDipl0[[#This Row],[Sprint0]],1)+1,LEN(AuswDipl0[[#This Row],[Sprint0]])),"")</f>
        <v>nicht durchgeführt</v>
      </c>
      <c r="E13" s="254" t="str">
        <f ca="1">IF(AuswDipl0[[#This Row],[Sprint000]]=Stammdaten!$AY$27,AuswDipl0[[#This Row],[Sprint000]],"")</f>
        <v>nicht durchgeführt</v>
      </c>
      <c r="F13" s="254" t="str">
        <f ca="1">IF(VLOOKUP(AuswDipl0[[#This Row],[Nummer]],_Diplom,F$6,FALSE)="",""," "&amp;VLOOKUP(AuswDipl0[[#This Row],[Nummer]],_Diplom,F$6,FALSE))</f>
        <v/>
      </c>
      <c r="G13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3" s="254" t="str">
        <f ca="1">IF(VLOOKUP(AuswDipl0[[#This Row],[Nummer]],_Diplom,H$6,FALSE)&lt;&gt;"","("&amp;VLOOKUP(AuswDipl0[[#This Row],[Nummer]],_Diplom,H$6,FALSE)&amp;")","")</f>
        <v/>
      </c>
      <c r="I13" s="254" t="str">
        <f ca="1">VLOOKUP(AuswDipl0[[#This Row],[Nummer]],_Diplom,I$6,FALSE)</f>
        <v>Ausdauerdisziplinen nicht durchgeführt</v>
      </c>
      <c r="J13" s="254" t="str">
        <f ca="1">IFERROR(VLOOKUP(AuswDipl0[[#This Row],[Ausdauer0]],INDIRECT($A$2),1,0),$I$4)</f>
        <v>Ausdauerdisziplinen</v>
      </c>
      <c r="K13" s="254" t="str">
        <f ca="1">IF(AuswDipl0[[#This Row],[Ausdauer00]]=$I$4,MID(AuswDipl0[[#This Row],[Ausdauer0]],FIND(" ",AuswDipl0[[#This Row],[Ausdauer0]],1)+1,LEN(AuswDipl0[[#This Row],[Ausdauer0]])),"")</f>
        <v>nicht durchgeführt</v>
      </c>
      <c r="L13" s="254" t="str">
        <f ca="1">IF(AuswDipl0[[#This Row],[Ausdauer000]]=Stammdaten!$AY$27,AuswDipl0[[#This Row],[Ausdauer000]],"")</f>
        <v>nicht durchgeführt</v>
      </c>
      <c r="M13" s="254" t="str">
        <f ca="1">IF(VLOOKUP(AuswDipl0[[#This Row],[Nummer]],_Diplom,M$6,FALSE)="",""," "&amp;VLOOKUP(AuswDipl0[[#This Row],[Nummer]],_Diplom,M$6,FALSE))</f>
        <v/>
      </c>
      <c r="N13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3" s="254" t="str">
        <f ca="1">IF(VLOOKUP(AuswDipl0[[#This Row],[Nummer]],_Diplom,O$6,FALSE)&lt;&gt;"","("&amp;VLOOKUP(AuswDipl0[[#This Row],[Nummer]],_Diplom,O$6,FALSE)&amp;")","")</f>
        <v/>
      </c>
      <c r="P13" s="254" t="str">
        <f ca="1">VLOOKUP(AuswDipl0[[#This Row],[Nummer]],_Diplom,P$6,FALSE)</f>
        <v>Sprungdisziplinen nicht durchgeführt</v>
      </c>
      <c r="Q13" s="254" t="str">
        <f ca="1">IFERROR(VLOOKUP(AuswDipl0[[#This Row],[Sprung0]],INDIRECT($A$2),1,0),$P$4)</f>
        <v>Sprungdisziplinen</v>
      </c>
      <c r="R13" s="254" t="str">
        <f ca="1">IF(AuswDipl0[[#This Row],[Sprung00]]=$P$4,MID(AuswDipl0[[#This Row],[Sprung0]],FIND(" ",AuswDipl0[[#This Row],[Sprung0]],1)+1,LEN(AuswDipl0[[#This Row],[Sprung0]])),"")</f>
        <v>nicht durchgeführt</v>
      </c>
      <c r="S13" s="254" t="str">
        <f ca="1">IF(AuswDipl0[[#This Row],[Sprung000]]=Stammdaten!$AY$27,AuswDipl0[[#This Row],[Sprung000]],"")</f>
        <v>nicht durchgeführt</v>
      </c>
      <c r="T13" s="254" t="str">
        <f ca="1">IF(VLOOKUP(AuswDipl0[[#This Row],[Nummer]],_Diplom,T$6,FALSE)="",""," "&amp;VLOOKUP(AuswDipl0[[#This Row],[Nummer]],_Diplom,T$6,FALSE))</f>
        <v/>
      </c>
      <c r="U13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3" s="254" t="str">
        <f ca="1">IF(VLOOKUP(AuswDipl0[[#This Row],[Nummer]],_Diplom,V$6,FALSE)&lt;&gt;"","("&amp;VLOOKUP(AuswDipl0[[#This Row],[Nummer]],_Diplom,V$6,FALSE)&amp;")","")</f>
        <v/>
      </c>
      <c r="W13" s="254" t="str">
        <f ca="1">VLOOKUP(AuswDipl0[[#This Row],[Nummer]],_Diplom,W$6,FALSE)</f>
        <v>Wurfdisziplinen nicht durchgeführt</v>
      </c>
      <c r="X13" s="254" t="str">
        <f ca="1">IFERROR(VLOOKUP(AuswDipl0[[#This Row],[Wurf0]],INDIRECT($A$2),1,0),$W$4)</f>
        <v>Wurfdisziplinen</v>
      </c>
      <c r="Y13" s="254" t="str">
        <f ca="1">IF(AuswDipl0[[#This Row],[Wurf00]]=$W$4,MID(AuswDipl0[[#This Row],[Wurf0]],FIND(" ",AuswDipl0[[#This Row],[Wurf0]],1)+1,LEN(AuswDipl0[[#This Row],[Wurf0]])),"")</f>
        <v>nicht durchgeführt</v>
      </c>
      <c r="Z13" s="254" t="str">
        <f ca="1">IF(AuswDipl0[[#This Row],[Wurf000]]=Stammdaten!$AY$27,AuswDipl0[[#This Row],[Wurf000]],"")</f>
        <v>nicht durchgeführt</v>
      </c>
      <c r="AA13" s="254" t="str">
        <f ca="1">IF(VLOOKUP(AuswDipl0[[#This Row],[Nummer]],_Diplom,AA$6,FALSE)="",""," "&amp;VLOOKUP(AuswDipl0[[#This Row],[Nummer]],_Diplom,AA$6,FALSE))</f>
        <v/>
      </c>
      <c r="AB13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3" s="254" t="str">
        <f ca="1">IF(VLOOKUP(AuswDipl0[[#This Row],[Nummer]],_Diplom,AC$6,FALSE)&lt;&gt;"","("&amp;VLOOKUP(AuswDipl0[[#This Row],[Nummer]],_Diplom,AC$6,FALSE)&amp;")","")</f>
        <v/>
      </c>
      <c r="AD13" s="254" t="str">
        <f ca="1">IF(AuswDipl0[[#This Row],[ErGe_Höchst]]&lt;&gt;"",VLOOKUP(AuswDipl0[[#This Row],[Nummer]],_Diplom,$AD$6,FALSE),VLOOKUP(AuswDipl0[[#This Row],[Nummer]],_Diplom,$AD$6,FALSE))</f>
        <v>Erstes Gerät</v>
      </c>
      <c r="AE13" s="254" t="str">
        <f ca="1">VLOOKUP(AuswDipl0[[#This Row],[Nummer]],_Diplom,$AE$6,FALSE)</f>
        <v>nicht durchgeführt</v>
      </c>
      <c r="AF13" s="254" t="str">
        <f ca="1">IF(AuswDipl0[[#This Row],[ErGe_Höchst]]&lt;&gt;"",AuswDipl0[[#This Row],[ErGe_Höchst]],AuswDipl0[[#This Row],[ErGe_Txt2]])</f>
        <v>nicht durchgeführt</v>
      </c>
      <c r="AG13" s="254" t="str">
        <f ca="1">VLOOKUP(AuswDipl0[[#This Row],[Nummer]],_Diplom,$AG$6,FALSE)</f>
        <v/>
      </c>
      <c r="AH13" s="254" t="str">
        <f>VLOOKUP(AuswDipl0[[#This Row],[Nummer]],_Diplom,$AH$6,FALSE)</f>
        <v/>
      </c>
      <c r="AI13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3" s="254" t="str">
        <f ca="1">VLOOKUP(AuswDipl0[[#This Row],[Nummer]],_Diplom,$AJ$6,FALSE)</f>
        <v/>
      </c>
      <c r="AK13" s="254" t="str">
        <f ca="1">IF(AuswDipl0[[#This Row],[ZwGe_Höchst]]&lt;&gt;"",VLOOKUP(AuswDipl0[[#This Row],[Nummer]],_Diplom,$AK$6,FALSE),VLOOKUP(AuswDipl0[[#This Row],[Nummer]],_Diplom,$AK$6,FALSE))</f>
        <v>Zweites Gerät</v>
      </c>
      <c r="AL13" s="254" t="str">
        <f ca="1">VLOOKUP(AuswDipl0[[#This Row],[Nummer]],_Diplom,$AL$6,FALSE)</f>
        <v>nicht durchgeführt</v>
      </c>
      <c r="AM13" s="254" t="str">
        <f ca="1">IF(AuswDipl0[[#This Row],[ZwGe_Höchst]]&lt;&gt;"",AuswDipl0[[#This Row],[ZwGe_Höchst]],AuswDipl0[[#This Row],[ZwGe_Txt2]])</f>
        <v>nicht durchgeführt</v>
      </c>
      <c r="AN13" s="254" t="str">
        <f ca="1">VLOOKUP(AuswDipl0[[#This Row],[Nummer]],_Diplom,$AN$6,FALSE)</f>
        <v/>
      </c>
      <c r="AO13" s="254" t="str">
        <f>VLOOKUP(AuswDipl0[[#This Row],[Nummer]],_Diplom,$AO$6,FALSE)</f>
        <v/>
      </c>
      <c r="AP13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3" s="254" t="str">
        <f ca="1">VLOOKUP(AuswDipl0[[#This Row],[Nummer]],_Diplom,$AQ$6,FALSE)</f>
        <v/>
      </c>
      <c r="AR13" s="254" t="str">
        <f ca="1">IF(AuswDipl0[[#This Row],[DrGe_Höchst]]&lt;&gt;"",VLOOKUP(AuswDipl0[[#This Row],[Nummer]],_Diplom,$AR$6,FALSE),VLOOKUP(AuswDipl0[[#This Row],[Nummer]],_Diplom,$AR$6,FALSE))</f>
        <v>Drittes Gerät</v>
      </c>
      <c r="AS13" s="254" t="str">
        <f ca="1">VLOOKUP(AuswDipl0[[#This Row],[Nummer]],_Diplom,$AS$6,FALSE)</f>
        <v>nicht durchgeführt</v>
      </c>
      <c r="AT13" s="254" t="str">
        <f ca="1">IF(AuswDipl0[[#This Row],[DrGe_Höchst]]&lt;&gt;"",AuswDipl0[[#This Row],[DrGe_Höchst]],AuswDipl0[[#This Row],[DrGe_Txt2]])</f>
        <v>nicht durchgeführt</v>
      </c>
      <c r="AU13" s="254" t="str">
        <f ca="1">VLOOKUP(AuswDipl0[[#This Row],[Nummer]],_Diplom,$AU$6,FALSE)</f>
        <v/>
      </c>
      <c r="AV13" s="254" t="str">
        <f>VLOOKUP(AuswDipl0[[#This Row],[Nummer]],_Diplom,$AV$6,FALSE)</f>
        <v/>
      </c>
      <c r="AW13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3" s="254" t="str">
        <f ca="1">VLOOKUP(AuswDipl0[[#This Row],[Nummer]],_Diplom,$AX$6,FALSE)</f>
        <v/>
      </c>
      <c r="AY13" s="254" t="str">
        <f t="shared" si="0"/>
        <v>Parkour</v>
      </c>
      <c r="AZ13" s="254">
        <f ca="1">INDEX(INDIRECT($AZ$2),AuswDipl0[[#This Row],[Nummer]])</f>
        <v>0</v>
      </c>
      <c r="BA13" s="254" t="str">
        <f ca="1">IFERROR(IF(AuswDipl0[[#This Row],[ParkourPkte0]]&gt;0," "&amp;INDEX(INDIRECT($BA$2),MATCH($AY$1,INDIRECT($A$2),0)),""),"")</f>
        <v/>
      </c>
      <c r="BB13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3" s="254" t="str">
        <f ca="1">IF(AuswDipl0[[#This Row],[ParkourMax]]&lt;&gt;"",AuswDipl0[[#This Row],[ParkourMax]],Stammdaten!$AY$27)</f>
        <v>nicht durchgeführt</v>
      </c>
      <c r="BD13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3" s="254" t="str">
        <f ca="1">IF(AuswDipl0[[#This Row],[ParkourPkte1]]="","",VLOOKUP(AuswDipl0[[#This Row],[Nummer]],_Diplom,BE$6,FALSE))</f>
        <v/>
      </c>
      <c r="BF13" s="254" t="str">
        <f ca="1">VLOOKUP(AuswDipl0[[#This Row],[Nummer]],_Diplom,BF$6,FALSE)</f>
        <v>Darstellen und Tanzen</v>
      </c>
      <c r="BG13" s="254" t="str">
        <f ca="1">VLOOKUP(AuswDipl0[[#This Row],[Nummer]],_Diplom,BG$6,FALSE)</f>
        <v>nicht durchgeführt</v>
      </c>
      <c r="BH13" s="254" t="str">
        <f ca="1">IF(AuswDipl0[[#This Row],[BS_3_Max]]&lt;&gt;"",AuswDipl0[[#This Row],[BS_3_Max]],AuswDipl0[[#This Row],[BS_3_Txt1]])</f>
        <v>nicht durchgeführt</v>
      </c>
      <c r="BI13" s="254" t="str">
        <f ca="1">IF(VLOOKUP(AuswDipl0[[#This Row],[Nummer]],_Diplom,BI$6,FALSE)="","",VLOOKUP(AuswDipl0[[#This Row],[Nummer]],_Diplom,BI$6,FALSE))</f>
        <v/>
      </c>
      <c r="BJ13" s="254" t="str">
        <f ca="1">IF(AuswDipl0[[#This Row],[BS_3_Txt1]]=Stammdaten!$AX$19,AuswDipl0[[#This Row],[BS_3_Txt1]],AuswDipl0[[#This Row],[BS_3_Pkte0]]&amp;AuswDipl0[[#This Row],[BS_3_Mass]])</f>
        <v/>
      </c>
      <c r="BK13" s="254" t="str">
        <f ca="1">IFERROR(" "&amp;INDEX(INDIRECT($BK$2),MATCH(AuswDipl0[[#This Row],[BS_3_Txt0]],INDIRECT($A$2),0)),"")</f>
        <v/>
      </c>
      <c r="BL13" s="254" t="str">
        <f ca="1">VLOOKUP(AuswDipl0[[#This Row],[Nummer]],_Diplom,BL$6,FALSE)</f>
        <v/>
      </c>
      <c r="BM13" s="254" t="str">
        <f ca="1">IF(AuswDipl0[[#This Row],[ErSp_Höchst]]&lt;&gt;"",VLOOKUP(AuswDipl0[[#This Row],[Nummer]],_Diplom,$BM$6,FALSE),VLOOKUP(AuswDipl0[[#This Row],[Nummer]],_Diplom,$BM$6,FALSE))</f>
        <v>Erste Spielsportart</v>
      </c>
      <c r="BN13" s="254" t="str">
        <f ca="1">VLOOKUP(AuswDipl0[[#This Row],[Nummer]],_Diplom,$BN$6,FALSE)</f>
        <v>nicht durchgeführt</v>
      </c>
      <c r="BO13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3" s="254" t="str">
        <f ca="1">VLOOKUP(AuswDipl0[[#This Row],[Nummer]],_Diplom,$BP$6,FALSE)</f>
        <v/>
      </c>
      <c r="BQ13" s="254" t="str">
        <f ca="1">VLOOKUP(AuswDipl0[[#This Row],[Nummer]],_Diplom,$BQ$6,FALSE)</f>
        <v/>
      </c>
      <c r="BR13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3" s="254" t="str">
        <f ca="1">VLOOKUP(AuswDipl0[[#This Row],[Nummer]],_Diplom,$BS$6,FALSE)</f>
        <v/>
      </c>
      <c r="BT13" s="254" t="str">
        <f ca="1">VLOOKUP(AuswDipl0[[#This Row],[Nummer]],_Diplom,$BT$6,FALSE)</f>
        <v/>
      </c>
      <c r="BU13" s="254" t="str">
        <f ca="1">IF(AuswDipl0[[#This Row],[ZwSp_Höchst]]&lt;&gt;"",VLOOKUP(AuswDipl0[[#This Row],[Nummer]],_Diplom,$BU$6,FALSE),VLOOKUP(AuswDipl0[[#This Row],[Nummer]],_Diplom,$BU$6,FALSE))</f>
        <v>Zweite Spielsportart</v>
      </c>
      <c r="BV13" s="254" t="str">
        <f ca="1">VLOOKUP(AuswDipl0[[#This Row],[Nummer]],_Diplom,$BV$6,FALSE)</f>
        <v>nicht durchgeführt</v>
      </c>
      <c r="BW13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3" s="254" t="str">
        <f ca="1">VLOOKUP(AuswDipl0[[#This Row],[Nummer]],_Diplom,$BX$6,FALSE)</f>
        <v/>
      </c>
      <c r="BY13" s="254" t="str">
        <f ca="1">VLOOKUP(AuswDipl0[[#This Row],[Nummer]],_Diplom,$BY$6,FALSE)</f>
        <v/>
      </c>
      <c r="BZ13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3" s="254" t="str">
        <f ca="1">VLOOKUP(AuswDipl0[[#This Row],[Nummer]],_Diplom,$CA$6,FALSE)</f>
        <v/>
      </c>
      <c r="CB13" s="254" t="str">
        <f ca="1">VLOOKUP(AuswDipl0[[#This Row],[Nummer]],_Diplom,$CB$6,FALSE)</f>
        <v/>
      </c>
      <c r="CC13" s="254" t="str">
        <f ca="1">IF(AuswDipl0[[#This Row],[DrSp_Höchst]]&lt;&gt;"",VLOOKUP(AuswDipl0[[#This Row],[Nummer]],_Diplom,$CC$6,FALSE),VLOOKUP(AuswDipl0[[#This Row],[Nummer]],_Diplom,$CC$6,FALSE))</f>
        <v>Dritte Spielsportart</v>
      </c>
      <c r="CD13" s="254" t="str">
        <f ca="1">VLOOKUP(AuswDipl0[[#This Row],[Nummer]],_Diplom,$CD$6,FALSE)</f>
        <v>nicht durchgeführt</v>
      </c>
      <c r="CE13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3" s="254" t="str">
        <f ca="1">VLOOKUP(AuswDipl0[[#This Row],[Nummer]],_Diplom,$CF$6,FALSE)</f>
        <v/>
      </c>
      <c r="CG13" s="254" t="str">
        <f ca="1">VLOOKUP(AuswDipl0[[#This Row],[Nummer]],_Diplom,$CG$6,FALSE)</f>
        <v/>
      </c>
      <c r="CH13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3" s="254" t="str">
        <f ca="1">VLOOKUP(AuswDipl0[[#This Row],[Nummer]],_Diplom,$CI$6,FALSE)</f>
        <v/>
      </c>
      <c r="CJ13" s="254" t="str">
        <f ca="1">VLOOKUP(AuswDipl0[[#This Row],[Nummer]],_Diplom,$CJ$6,FALSE)</f>
        <v/>
      </c>
      <c r="CK13" s="254" t="str">
        <f ca="1">VLOOKUP(AuswDipl0[[#This Row],[Nummer]],_Diplom,CK$6,FALSE)</f>
        <v>Zu wenige Noten</v>
      </c>
      <c r="CL13" s="254">
        <f ca="1">VLOOKUP(AuswDipl0[[#This Row],[Nummer]],_Diplom,CL$6,FALSE)</f>
        <v>0</v>
      </c>
      <c r="CM13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3" s="254">
        <f ca="1">IFERROR(INDEX(INDIRECT($CN$4),MATCH(AuswDipl0[[#This Row],[BS_1_Med]],INDIRECT($CN$3),0)),6)</f>
        <v>6</v>
      </c>
      <c r="CO13" s="254" t="str">
        <f ca="1">VLOOKUP(AuswDipl0[[#This Row],[Nummer]],_Diplom,CO$6,FALSE)</f>
        <v>Zu wenige Noten</v>
      </c>
      <c r="CP13" s="254">
        <f>VLOOKUP(AuswDipl0[[#This Row],[Nummer]],_Diplom,CP$6,FALSE)</f>
        <v>0</v>
      </c>
      <c r="CQ13" s="254">
        <f ca="1">VLOOKUP(AuswDipl0[[#This Row],[Nummer]],_Diplom,CQ$6,FALSE)</f>
        <v>0</v>
      </c>
      <c r="CR13" s="254">
        <f ca="1">IF(AND(AuswDipl0[[#This Row],[BS_2_AnzGer]]&gt;=$CP$2,AND(ISNUMBER(AuswDipl0[[#This Row],[BS_2_Park]]),AuswDipl0[[#This Row],[BS_2_Park]]&gt;0)),1,0)</f>
        <v>0</v>
      </c>
      <c r="CS13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3" s="254">
        <f ca="1">IFERROR(INDEX(INDIRECT($CT$4),MATCH(AuswDipl0[[#This Row],[BS_2_Med]],INDIRECT($CT$3),0)),6)</f>
        <v>6</v>
      </c>
      <c r="CU13" s="254" t="str">
        <f ca="1">VLOOKUP(AuswDipl0[[#This Row],[Nummer]],_Diplom,CU$6,FALSE)</f>
        <v>Zu wenige Noten</v>
      </c>
      <c r="CV13" s="254">
        <f ca="1">IF(AuswDipl0[[#This Row],[BS_3_Erg]]=INDEX(StdFehler[StdFehler],4),0,IF(AuswDipl0[[#This Row],[BS_3_Erg]]=Stammdaten!$AX$19,Stammdaten!$AX$19,VALUE(AuswDipl0[[#This Row],[BS_3_Erg]])))</f>
        <v>0</v>
      </c>
      <c r="CW13" s="254" t="str">
        <f ca="1">IF(AuswDipl0[[#This Row],[BS_3_x]]=0,"",INDEX(INDIRECT(CW$4),MATCH(AuswDipl0[[#This Row],[BS_3_x]],INDIRECT(CW$3),0)))</f>
        <v/>
      </c>
      <c r="CX13" s="254">
        <f ca="1">IFERROR(INDEX(INDIRECT($CX$4),MATCH(AuswDipl0[[#This Row],[BS_3_Med]],INDIRECT($CX$3),0)),6)</f>
        <v>6</v>
      </c>
      <c r="CY13" s="254" t="str">
        <f ca="1">VLOOKUP(AuswDipl0[[#This Row],[Nummer]],_Diplom,CY$6,FALSE)</f>
        <v>Zu wenige Noten</v>
      </c>
      <c r="CZ13" s="254">
        <f ca="1">VLOOKUP(AuswDipl0[[#This Row],[Nummer]],_Diplom,CZ$6,FALSE)</f>
        <v>0</v>
      </c>
      <c r="DA13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3" s="254">
        <f ca="1">IFERROR(INDEX(INDIRECT($DB$4),MATCH(AuswDipl0[[#This Row],[BS_4_Med]],INDIRECT($DB$3),0)),6)</f>
        <v>6</v>
      </c>
    </row>
    <row r="14" spans="1:106" ht="12" customHeight="1" x14ac:dyDescent="0.25">
      <c r="A14" s="254">
        <v>8</v>
      </c>
      <c r="B14" s="254" t="str">
        <f ca="1">VLOOKUP(AuswDipl0[[#This Row],[Nummer]],_Diplom,B$6,FALSE)</f>
        <v>Sprintdisziplinen nicht durchgeführt</v>
      </c>
      <c r="C14" s="254" t="str">
        <f ca="1">IFERROR(VLOOKUP(AuswDipl0[[#This Row],[Sprint0]],INDIRECT($A$2),1,0),$B$4)</f>
        <v>Sprintdisziplinen</v>
      </c>
      <c r="D14" s="254" t="str">
        <f ca="1">IF(AuswDipl0[[#This Row],[Sprint00]]=$B$4,MID(AuswDipl0[[#This Row],[Sprint0]],FIND(" ",AuswDipl0[[#This Row],[Sprint0]],1)+1,LEN(AuswDipl0[[#This Row],[Sprint0]])),"")</f>
        <v>nicht durchgeführt</v>
      </c>
      <c r="E14" s="254" t="str">
        <f ca="1">IF(AuswDipl0[[#This Row],[Sprint000]]=Stammdaten!$AY$27,AuswDipl0[[#This Row],[Sprint000]],"")</f>
        <v>nicht durchgeführt</v>
      </c>
      <c r="F14" s="254" t="str">
        <f ca="1">IF(VLOOKUP(AuswDipl0[[#This Row],[Nummer]],_Diplom,F$6,FALSE)="",""," "&amp;VLOOKUP(AuswDipl0[[#This Row],[Nummer]],_Diplom,F$6,FALSE))</f>
        <v/>
      </c>
      <c r="G14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4" s="254" t="str">
        <f ca="1">IF(VLOOKUP(AuswDipl0[[#This Row],[Nummer]],_Diplom,H$6,FALSE)&lt;&gt;"","("&amp;VLOOKUP(AuswDipl0[[#This Row],[Nummer]],_Diplom,H$6,FALSE)&amp;")","")</f>
        <v/>
      </c>
      <c r="I14" s="254" t="str">
        <f ca="1">VLOOKUP(AuswDipl0[[#This Row],[Nummer]],_Diplom,I$6,FALSE)</f>
        <v>Ausdauerdisziplinen nicht durchgeführt</v>
      </c>
      <c r="J14" s="254" t="str">
        <f ca="1">IFERROR(VLOOKUP(AuswDipl0[[#This Row],[Ausdauer0]],INDIRECT($A$2),1,0),$I$4)</f>
        <v>Ausdauerdisziplinen</v>
      </c>
      <c r="K14" s="254" t="str">
        <f ca="1">IF(AuswDipl0[[#This Row],[Ausdauer00]]=$I$4,MID(AuswDipl0[[#This Row],[Ausdauer0]],FIND(" ",AuswDipl0[[#This Row],[Ausdauer0]],1)+1,LEN(AuswDipl0[[#This Row],[Ausdauer0]])),"")</f>
        <v>nicht durchgeführt</v>
      </c>
      <c r="L14" s="254" t="str">
        <f ca="1">IF(AuswDipl0[[#This Row],[Ausdauer000]]=Stammdaten!$AY$27,AuswDipl0[[#This Row],[Ausdauer000]],"")</f>
        <v>nicht durchgeführt</v>
      </c>
      <c r="M14" s="254" t="str">
        <f ca="1">IF(VLOOKUP(AuswDipl0[[#This Row],[Nummer]],_Diplom,M$6,FALSE)="",""," "&amp;VLOOKUP(AuswDipl0[[#This Row],[Nummer]],_Diplom,M$6,FALSE))</f>
        <v/>
      </c>
      <c r="N14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4" s="254" t="str">
        <f ca="1">IF(VLOOKUP(AuswDipl0[[#This Row],[Nummer]],_Diplom,O$6,FALSE)&lt;&gt;"","("&amp;VLOOKUP(AuswDipl0[[#This Row],[Nummer]],_Diplom,O$6,FALSE)&amp;")","")</f>
        <v/>
      </c>
      <c r="P14" s="254" t="str">
        <f ca="1">VLOOKUP(AuswDipl0[[#This Row],[Nummer]],_Diplom,P$6,FALSE)</f>
        <v>Sprungdisziplinen nicht durchgeführt</v>
      </c>
      <c r="Q14" s="254" t="str">
        <f ca="1">IFERROR(VLOOKUP(AuswDipl0[[#This Row],[Sprung0]],INDIRECT($A$2),1,0),$P$4)</f>
        <v>Sprungdisziplinen</v>
      </c>
      <c r="R14" s="254" t="str">
        <f ca="1">IF(AuswDipl0[[#This Row],[Sprung00]]=$P$4,MID(AuswDipl0[[#This Row],[Sprung0]],FIND(" ",AuswDipl0[[#This Row],[Sprung0]],1)+1,LEN(AuswDipl0[[#This Row],[Sprung0]])),"")</f>
        <v>nicht durchgeführt</v>
      </c>
      <c r="S14" s="254" t="str">
        <f ca="1">IF(AuswDipl0[[#This Row],[Sprung000]]=Stammdaten!$AY$27,AuswDipl0[[#This Row],[Sprung000]],"")</f>
        <v>nicht durchgeführt</v>
      </c>
      <c r="T14" s="254" t="str">
        <f ca="1">IF(VLOOKUP(AuswDipl0[[#This Row],[Nummer]],_Diplom,T$6,FALSE)="",""," "&amp;VLOOKUP(AuswDipl0[[#This Row],[Nummer]],_Diplom,T$6,FALSE))</f>
        <v/>
      </c>
      <c r="U14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4" s="254" t="str">
        <f ca="1">IF(VLOOKUP(AuswDipl0[[#This Row],[Nummer]],_Diplom,V$6,FALSE)&lt;&gt;"","("&amp;VLOOKUP(AuswDipl0[[#This Row],[Nummer]],_Diplom,V$6,FALSE)&amp;")","")</f>
        <v/>
      </c>
      <c r="W14" s="254" t="str">
        <f ca="1">VLOOKUP(AuswDipl0[[#This Row],[Nummer]],_Diplom,W$6,FALSE)</f>
        <v>Wurfdisziplinen nicht durchgeführt</v>
      </c>
      <c r="X14" s="254" t="str">
        <f ca="1">IFERROR(VLOOKUP(AuswDipl0[[#This Row],[Wurf0]],INDIRECT($A$2),1,0),$W$4)</f>
        <v>Wurfdisziplinen</v>
      </c>
      <c r="Y14" s="254" t="str">
        <f ca="1">IF(AuswDipl0[[#This Row],[Wurf00]]=$W$4,MID(AuswDipl0[[#This Row],[Wurf0]],FIND(" ",AuswDipl0[[#This Row],[Wurf0]],1)+1,LEN(AuswDipl0[[#This Row],[Wurf0]])),"")</f>
        <v>nicht durchgeführt</v>
      </c>
      <c r="Z14" s="254" t="str">
        <f ca="1">IF(AuswDipl0[[#This Row],[Wurf000]]=Stammdaten!$AY$27,AuswDipl0[[#This Row],[Wurf000]],"")</f>
        <v>nicht durchgeführt</v>
      </c>
      <c r="AA14" s="254" t="str">
        <f ca="1">IF(VLOOKUP(AuswDipl0[[#This Row],[Nummer]],_Diplom,AA$6,FALSE)="",""," "&amp;VLOOKUP(AuswDipl0[[#This Row],[Nummer]],_Diplom,AA$6,FALSE))</f>
        <v/>
      </c>
      <c r="AB14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4" s="254" t="str">
        <f ca="1">IF(VLOOKUP(AuswDipl0[[#This Row],[Nummer]],_Diplom,AC$6,FALSE)&lt;&gt;"","("&amp;VLOOKUP(AuswDipl0[[#This Row],[Nummer]],_Diplom,AC$6,FALSE)&amp;")","")</f>
        <v/>
      </c>
      <c r="AD14" s="254" t="str">
        <f ca="1">IF(AuswDipl0[[#This Row],[ErGe_Höchst]]&lt;&gt;"",VLOOKUP(AuswDipl0[[#This Row],[Nummer]],_Diplom,$AD$6,FALSE),VLOOKUP(AuswDipl0[[#This Row],[Nummer]],_Diplom,$AD$6,FALSE))</f>
        <v>Erstes Gerät</v>
      </c>
      <c r="AE14" s="254" t="str">
        <f ca="1">VLOOKUP(AuswDipl0[[#This Row],[Nummer]],_Diplom,$AE$6,FALSE)</f>
        <v>nicht durchgeführt</v>
      </c>
      <c r="AF14" s="278" t="str">
        <f ca="1">IF(AuswDipl0[[#This Row],[ErGe_Höchst]]&lt;&gt;"",AuswDipl0[[#This Row],[ErGe_Höchst]],AuswDipl0[[#This Row],[ErGe_Txt2]])</f>
        <v>nicht durchgeführt</v>
      </c>
      <c r="AG14" s="254" t="str">
        <f ca="1">VLOOKUP(AuswDipl0[[#This Row],[Nummer]],_Diplom,$AG$6,FALSE)</f>
        <v/>
      </c>
      <c r="AH14" s="254" t="str">
        <f>VLOOKUP(AuswDipl0[[#This Row],[Nummer]],_Diplom,$AH$6,FALSE)</f>
        <v/>
      </c>
      <c r="AI14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4" s="254" t="str">
        <f ca="1">VLOOKUP(AuswDipl0[[#This Row],[Nummer]],_Diplom,$AJ$6,FALSE)</f>
        <v/>
      </c>
      <c r="AK14" s="254" t="str">
        <f ca="1">IF(AuswDipl0[[#This Row],[ZwGe_Höchst]]&lt;&gt;"",VLOOKUP(AuswDipl0[[#This Row],[Nummer]],_Diplom,$AK$6,FALSE),VLOOKUP(AuswDipl0[[#This Row],[Nummer]],_Diplom,$AK$6,FALSE))</f>
        <v>Zweites Gerät</v>
      </c>
      <c r="AL14" s="254" t="str">
        <f ca="1">VLOOKUP(AuswDipl0[[#This Row],[Nummer]],_Diplom,$AL$6,FALSE)</f>
        <v>nicht durchgeführt</v>
      </c>
      <c r="AM14" s="254" t="str">
        <f ca="1">IF(AuswDipl0[[#This Row],[ZwGe_Höchst]]&lt;&gt;"",AuswDipl0[[#This Row],[ZwGe_Höchst]],AuswDipl0[[#This Row],[ZwGe_Txt2]])</f>
        <v>nicht durchgeführt</v>
      </c>
      <c r="AN14" s="254" t="str">
        <f ca="1">VLOOKUP(AuswDipl0[[#This Row],[Nummer]],_Diplom,$AN$6,FALSE)</f>
        <v/>
      </c>
      <c r="AO14" s="254" t="str">
        <f>VLOOKUP(AuswDipl0[[#This Row],[Nummer]],_Diplom,$AO$6,FALSE)</f>
        <v/>
      </c>
      <c r="AP14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4" s="254" t="str">
        <f ca="1">VLOOKUP(AuswDipl0[[#This Row],[Nummer]],_Diplom,$AQ$6,FALSE)</f>
        <v/>
      </c>
      <c r="AR14" s="254" t="str">
        <f ca="1">IF(AuswDipl0[[#This Row],[DrGe_Höchst]]&lt;&gt;"",VLOOKUP(AuswDipl0[[#This Row],[Nummer]],_Diplom,$AR$6,FALSE),VLOOKUP(AuswDipl0[[#This Row],[Nummer]],_Diplom,$AR$6,FALSE))</f>
        <v>Drittes Gerät</v>
      </c>
      <c r="AS14" s="254" t="str">
        <f ca="1">VLOOKUP(AuswDipl0[[#This Row],[Nummer]],_Diplom,$AS$6,FALSE)</f>
        <v>nicht durchgeführt</v>
      </c>
      <c r="AT14" s="254" t="str">
        <f ca="1">IF(AuswDipl0[[#This Row],[DrGe_Höchst]]&lt;&gt;"",AuswDipl0[[#This Row],[DrGe_Höchst]],AuswDipl0[[#This Row],[DrGe_Txt2]])</f>
        <v>nicht durchgeführt</v>
      </c>
      <c r="AU14" s="254" t="str">
        <f ca="1">VLOOKUP(AuswDipl0[[#This Row],[Nummer]],_Diplom,$AU$6,FALSE)</f>
        <v/>
      </c>
      <c r="AV14" s="254" t="str">
        <f>VLOOKUP(AuswDipl0[[#This Row],[Nummer]],_Diplom,$AV$6,FALSE)</f>
        <v/>
      </c>
      <c r="AW14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4" s="254" t="str">
        <f ca="1">VLOOKUP(AuswDipl0[[#This Row],[Nummer]],_Diplom,$AX$6,FALSE)</f>
        <v/>
      </c>
      <c r="AY14" s="254" t="str">
        <f t="shared" si="0"/>
        <v>Parkour</v>
      </c>
      <c r="AZ14" s="254">
        <f ca="1">INDEX(INDIRECT($AZ$2),AuswDipl0[[#This Row],[Nummer]])</f>
        <v>0</v>
      </c>
      <c r="BA14" s="254" t="str">
        <f ca="1">IFERROR(IF(AuswDipl0[[#This Row],[ParkourPkte0]]&gt;0," "&amp;INDEX(INDIRECT($BA$2),MATCH($AY$1,INDIRECT($A$2),0)),""),"")</f>
        <v/>
      </c>
      <c r="BB14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4" s="254" t="str">
        <f ca="1">IF(AuswDipl0[[#This Row],[ParkourMax]]&lt;&gt;"",AuswDipl0[[#This Row],[ParkourMax]],Stammdaten!$AY$27)</f>
        <v>nicht durchgeführt</v>
      </c>
      <c r="BD14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4" s="254" t="str">
        <f ca="1">IF(AuswDipl0[[#This Row],[ParkourPkte1]]="","",VLOOKUP(AuswDipl0[[#This Row],[Nummer]],_Diplom,BE$6,FALSE))</f>
        <v/>
      </c>
      <c r="BF14" s="254" t="str">
        <f ca="1">VLOOKUP(AuswDipl0[[#This Row],[Nummer]],_Diplom,BF$6,FALSE)</f>
        <v>Darstellen und Tanzen</v>
      </c>
      <c r="BG14" s="254" t="str">
        <f ca="1">VLOOKUP(AuswDipl0[[#This Row],[Nummer]],_Diplom,BG$6,FALSE)</f>
        <v>nicht durchgeführt</v>
      </c>
      <c r="BH14" s="254" t="str">
        <f ca="1">IF(AuswDipl0[[#This Row],[BS_3_Max]]&lt;&gt;"",AuswDipl0[[#This Row],[BS_3_Max]],AuswDipl0[[#This Row],[BS_3_Txt1]])</f>
        <v>nicht durchgeführt</v>
      </c>
      <c r="BI14" s="254" t="str">
        <f ca="1">IF(VLOOKUP(AuswDipl0[[#This Row],[Nummer]],_Diplom,BI$6,FALSE)="","",VLOOKUP(AuswDipl0[[#This Row],[Nummer]],_Diplom,BI$6,FALSE))</f>
        <v/>
      </c>
      <c r="BJ14" s="254" t="str">
        <f ca="1">IF(AuswDipl0[[#This Row],[BS_3_Txt1]]=Stammdaten!$AX$19,AuswDipl0[[#This Row],[BS_3_Txt1]],AuswDipl0[[#This Row],[BS_3_Pkte0]]&amp;AuswDipl0[[#This Row],[BS_3_Mass]])</f>
        <v/>
      </c>
      <c r="BK14" s="254" t="str">
        <f ca="1">IFERROR(" "&amp;INDEX(INDIRECT($BK$2),MATCH(AuswDipl0[[#This Row],[BS_3_Txt0]],INDIRECT($A$2),0)),"")</f>
        <v/>
      </c>
      <c r="BL14" s="254" t="str">
        <f ca="1">VLOOKUP(AuswDipl0[[#This Row],[Nummer]],_Diplom,BL$6,FALSE)</f>
        <v/>
      </c>
      <c r="BM14" s="254" t="str">
        <f ca="1">IF(AuswDipl0[[#This Row],[ErSp_Höchst]]&lt;&gt;"",VLOOKUP(AuswDipl0[[#This Row],[Nummer]],_Diplom,$BM$6,FALSE),VLOOKUP(AuswDipl0[[#This Row],[Nummer]],_Diplom,$BM$6,FALSE))</f>
        <v>Erste Spielsportart</v>
      </c>
      <c r="BN14" s="254" t="str">
        <f ca="1">VLOOKUP(AuswDipl0[[#This Row],[Nummer]],_Diplom,$BN$6,FALSE)</f>
        <v>nicht durchgeführt</v>
      </c>
      <c r="BO14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4" s="254" t="str">
        <f ca="1">VLOOKUP(AuswDipl0[[#This Row],[Nummer]],_Diplom,$BP$6,FALSE)</f>
        <v/>
      </c>
      <c r="BQ14" s="254" t="str">
        <f ca="1">VLOOKUP(AuswDipl0[[#This Row],[Nummer]],_Diplom,$BQ$6,FALSE)</f>
        <v/>
      </c>
      <c r="BR14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4" s="254" t="str">
        <f ca="1">VLOOKUP(AuswDipl0[[#This Row],[Nummer]],_Diplom,$BS$6,FALSE)</f>
        <v/>
      </c>
      <c r="BT14" s="254" t="str">
        <f ca="1">VLOOKUP(AuswDipl0[[#This Row],[Nummer]],_Diplom,$BT$6,FALSE)</f>
        <v/>
      </c>
      <c r="BU14" s="254" t="str">
        <f ca="1">IF(AuswDipl0[[#This Row],[ZwSp_Höchst]]&lt;&gt;"",VLOOKUP(AuswDipl0[[#This Row],[Nummer]],_Diplom,$BU$6,FALSE),VLOOKUP(AuswDipl0[[#This Row],[Nummer]],_Diplom,$BU$6,FALSE))</f>
        <v>Zweite Spielsportart</v>
      </c>
      <c r="BV14" s="254" t="str">
        <f ca="1">VLOOKUP(AuswDipl0[[#This Row],[Nummer]],_Diplom,$BV$6,FALSE)</f>
        <v>nicht durchgeführt</v>
      </c>
      <c r="BW14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4" s="254" t="str">
        <f ca="1">VLOOKUP(AuswDipl0[[#This Row],[Nummer]],_Diplom,$BX$6,FALSE)</f>
        <v/>
      </c>
      <c r="BY14" s="254" t="str">
        <f ca="1">VLOOKUP(AuswDipl0[[#This Row],[Nummer]],_Diplom,$BY$6,FALSE)</f>
        <v/>
      </c>
      <c r="BZ14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4" s="254" t="str">
        <f ca="1">VLOOKUP(AuswDipl0[[#This Row],[Nummer]],_Diplom,$CA$6,FALSE)</f>
        <v/>
      </c>
      <c r="CB14" s="254" t="str">
        <f ca="1">VLOOKUP(AuswDipl0[[#This Row],[Nummer]],_Diplom,$CB$6,FALSE)</f>
        <v/>
      </c>
      <c r="CC14" s="254" t="str">
        <f ca="1">IF(AuswDipl0[[#This Row],[DrSp_Höchst]]&lt;&gt;"",VLOOKUP(AuswDipl0[[#This Row],[Nummer]],_Diplom,$CC$6,FALSE),VLOOKUP(AuswDipl0[[#This Row],[Nummer]],_Diplom,$CC$6,FALSE))</f>
        <v>Dritte Spielsportart</v>
      </c>
      <c r="CD14" s="254" t="str">
        <f ca="1">VLOOKUP(AuswDipl0[[#This Row],[Nummer]],_Diplom,$CD$6,FALSE)</f>
        <v>nicht durchgeführt</v>
      </c>
      <c r="CE14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4" s="254" t="str">
        <f ca="1">VLOOKUP(AuswDipl0[[#This Row],[Nummer]],_Diplom,$CF$6,FALSE)</f>
        <v/>
      </c>
      <c r="CG14" s="254" t="str">
        <f ca="1">VLOOKUP(AuswDipl0[[#This Row],[Nummer]],_Diplom,$CG$6,FALSE)</f>
        <v/>
      </c>
      <c r="CH14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4" s="254" t="str">
        <f ca="1">VLOOKUP(AuswDipl0[[#This Row],[Nummer]],_Diplom,$CI$6,FALSE)</f>
        <v/>
      </c>
      <c r="CJ14" s="254" t="str">
        <f ca="1">VLOOKUP(AuswDipl0[[#This Row],[Nummer]],_Diplom,$CJ$6,FALSE)</f>
        <v/>
      </c>
      <c r="CK14" s="254" t="str">
        <f ca="1">VLOOKUP(AuswDipl0[[#This Row],[Nummer]],_Diplom,CK$6,FALSE)</f>
        <v>Zu wenige Noten</v>
      </c>
      <c r="CL14" s="254">
        <f ca="1">VLOOKUP(AuswDipl0[[#This Row],[Nummer]],_Diplom,CL$6,FALSE)</f>
        <v>0</v>
      </c>
      <c r="CM14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4" s="254">
        <f ca="1">IFERROR(INDEX(INDIRECT($CN$4),MATCH(AuswDipl0[[#This Row],[BS_1_Med]],INDIRECT($CN$3),0)),6)</f>
        <v>6</v>
      </c>
      <c r="CO14" s="254" t="str">
        <f ca="1">VLOOKUP(AuswDipl0[[#This Row],[Nummer]],_Diplom,CO$6,FALSE)</f>
        <v>Zu wenige Noten</v>
      </c>
      <c r="CP14" s="254">
        <f>VLOOKUP(AuswDipl0[[#This Row],[Nummer]],_Diplom,CP$6,FALSE)</f>
        <v>0</v>
      </c>
      <c r="CQ14" s="254">
        <f ca="1">VLOOKUP(AuswDipl0[[#This Row],[Nummer]],_Diplom,CQ$6,FALSE)</f>
        <v>0</v>
      </c>
      <c r="CR14" s="254">
        <f ca="1">IF(AND(AuswDipl0[[#This Row],[BS_2_AnzGer]]&gt;=$CP$2,AND(ISNUMBER(AuswDipl0[[#This Row],[BS_2_Park]]),AuswDipl0[[#This Row],[BS_2_Park]]&gt;0)),1,0)</f>
        <v>0</v>
      </c>
      <c r="CS14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4" s="254">
        <f ca="1">IFERROR(INDEX(INDIRECT($CT$4),MATCH(AuswDipl0[[#This Row],[BS_2_Med]],INDIRECT($CT$3),0)),6)</f>
        <v>6</v>
      </c>
      <c r="CU14" s="254" t="str">
        <f ca="1">VLOOKUP(AuswDipl0[[#This Row],[Nummer]],_Diplom,CU$6,FALSE)</f>
        <v>Zu wenige Noten</v>
      </c>
      <c r="CV14" s="254">
        <f ca="1">IF(AuswDipl0[[#This Row],[BS_3_Erg]]=INDEX(StdFehler[StdFehler],4),0,IF(AuswDipl0[[#This Row],[BS_3_Erg]]=Stammdaten!$AX$19,Stammdaten!$AX$19,VALUE(AuswDipl0[[#This Row],[BS_3_Erg]])))</f>
        <v>0</v>
      </c>
      <c r="CW14" s="254" t="str">
        <f ca="1">IF(AuswDipl0[[#This Row],[BS_3_x]]=0,"",INDEX(INDIRECT(CW$4),MATCH(AuswDipl0[[#This Row],[BS_3_x]],INDIRECT(CW$3),0)))</f>
        <v/>
      </c>
      <c r="CX14" s="254">
        <f ca="1">IFERROR(INDEX(INDIRECT($CX$4),MATCH(AuswDipl0[[#This Row],[BS_3_Med]],INDIRECT($CX$3),0)),6)</f>
        <v>6</v>
      </c>
      <c r="CY14" s="254" t="str">
        <f ca="1">VLOOKUP(AuswDipl0[[#This Row],[Nummer]],_Diplom,CY$6,FALSE)</f>
        <v>Zu wenige Noten</v>
      </c>
      <c r="CZ14" s="254">
        <f ca="1">VLOOKUP(AuswDipl0[[#This Row],[Nummer]],_Diplom,CZ$6,FALSE)</f>
        <v>0</v>
      </c>
      <c r="DA14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4" s="254">
        <f ca="1">IFERROR(INDEX(INDIRECT($DB$4),MATCH(AuswDipl0[[#This Row],[BS_4_Med]],INDIRECT($DB$3),0)),6)</f>
        <v>6</v>
      </c>
    </row>
    <row r="15" spans="1:106" ht="12" customHeight="1" x14ac:dyDescent="0.25">
      <c r="A15" s="254">
        <v>9</v>
      </c>
      <c r="B15" s="254" t="str">
        <f ca="1">VLOOKUP(AuswDipl0[[#This Row],[Nummer]],_Diplom,B$6,FALSE)</f>
        <v>Sprintdisziplinen nicht durchgeführt</v>
      </c>
      <c r="C15" s="254" t="str">
        <f ca="1">IFERROR(VLOOKUP(AuswDipl0[[#This Row],[Sprint0]],INDIRECT($A$2),1,0),$B$4)</f>
        <v>Sprintdisziplinen</v>
      </c>
      <c r="D15" s="254" t="str">
        <f ca="1">IF(AuswDipl0[[#This Row],[Sprint00]]=$B$4,MID(AuswDipl0[[#This Row],[Sprint0]],FIND(" ",AuswDipl0[[#This Row],[Sprint0]],1)+1,LEN(AuswDipl0[[#This Row],[Sprint0]])),"")</f>
        <v>nicht durchgeführt</v>
      </c>
      <c r="E15" s="254" t="str">
        <f ca="1">IF(AuswDipl0[[#This Row],[Sprint000]]=Stammdaten!$AY$27,AuswDipl0[[#This Row],[Sprint000]],"")</f>
        <v>nicht durchgeführt</v>
      </c>
      <c r="F15" s="254" t="str">
        <f ca="1">IF(VLOOKUP(AuswDipl0[[#This Row],[Nummer]],_Diplom,F$6,FALSE)="",""," "&amp;VLOOKUP(AuswDipl0[[#This Row],[Nummer]],_Diplom,F$6,FALSE))</f>
        <v/>
      </c>
      <c r="G15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5" s="254" t="str">
        <f ca="1">IF(VLOOKUP(AuswDipl0[[#This Row],[Nummer]],_Diplom,H$6,FALSE)&lt;&gt;"","("&amp;VLOOKUP(AuswDipl0[[#This Row],[Nummer]],_Diplom,H$6,FALSE)&amp;")","")</f>
        <v/>
      </c>
      <c r="I15" s="254" t="str">
        <f ca="1">VLOOKUP(AuswDipl0[[#This Row],[Nummer]],_Diplom,I$6,FALSE)</f>
        <v>Ausdauerdisziplinen nicht durchgeführt</v>
      </c>
      <c r="J15" s="254" t="str">
        <f ca="1">IFERROR(VLOOKUP(AuswDipl0[[#This Row],[Ausdauer0]],INDIRECT($A$2),1,0),$I$4)</f>
        <v>Ausdauerdisziplinen</v>
      </c>
      <c r="K15" s="254" t="str">
        <f ca="1">IF(AuswDipl0[[#This Row],[Ausdauer00]]=$I$4,MID(AuswDipl0[[#This Row],[Ausdauer0]],FIND(" ",AuswDipl0[[#This Row],[Ausdauer0]],1)+1,LEN(AuswDipl0[[#This Row],[Ausdauer0]])),"")</f>
        <v>nicht durchgeführt</v>
      </c>
      <c r="L15" s="254" t="str">
        <f ca="1">IF(AuswDipl0[[#This Row],[Ausdauer000]]=Stammdaten!$AY$27,AuswDipl0[[#This Row],[Ausdauer000]],"")</f>
        <v>nicht durchgeführt</v>
      </c>
      <c r="M15" s="254" t="str">
        <f ca="1">IF(VLOOKUP(AuswDipl0[[#This Row],[Nummer]],_Diplom,M$6,FALSE)="",""," "&amp;VLOOKUP(AuswDipl0[[#This Row],[Nummer]],_Diplom,M$6,FALSE))</f>
        <v/>
      </c>
      <c r="N15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5" s="254" t="str">
        <f ca="1">IF(VLOOKUP(AuswDipl0[[#This Row],[Nummer]],_Diplom,O$6,FALSE)&lt;&gt;"","("&amp;VLOOKUP(AuswDipl0[[#This Row],[Nummer]],_Diplom,O$6,FALSE)&amp;")","")</f>
        <v/>
      </c>
      <c r="P15" s="254" t="str">
        <f ca="1">VLOOKUP(AuswDipl0[[#This Row],[Nummer]],_Diplom,P$6,FALSE)</f>
        <v>Sprungdisziplinen nicht durchgeführt</v>
      </c>
      <c r="Q15" s="254" t="str">
        <f ca="1">IFERROR(VLOOKUP(AuswDipl0[[#This Row],[Sprung0]],INDIRECT($A$2),1,0),$P$4)</f>
        <v>Sprungdisziplinen</v>
      </c>
      <c r="R15" s="254" t="str">
        <f ca="1">IF(AuswDipl0[[#This Row],[Sprung00]]=$P$4,MID(AuswDipl0[[#This Row],[Sprung0]],FIND(" ",AuswDipl0[[#This Row],[Sprung0]],1)+1,LEN(AuswDipl0[[#This Row],[Sprung0]])),"")</f>
        <v>nicht durchgeführt</v>
      </c>
      <c r="S15" s="254" t="str">
        <f ca="1">IF(AuswDipl0[[#This Row],[Sprung000]]=Stammdaten!$AY$27,AuswDipl0[[#This Row],[Sprung000]],"")</f>
        <v>nicht durchgeführt</v>
      </c>
      <c r="T15" s="254" t="str">
        <f ca="1">IF(VLOOKUP(AuswDipl0[[#This Row],[Nummer]],_Diplom,T$6,FALSE)="",""," "&amp;VLOOKUP(AuswDipl0[[#This Row],[Nummer]],_Diplom,T$6,FALSE))</f>
        <v/>
      </c>
      <c r="U15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5" s="254" t="str">
        <f ca="1">IF(VLOOKUP(AuswDipl0[[#This Row],[Nummer]],_Diplom,V$6,FALSE)&lt;&gt;"","("&amp;VLOOKUP(AuswDipl0[[#This Row],[Nummer]],_Diplom,V$6,FALSE)&amp;")","")</f>
        <v/>
      </c>
      <c r="W15" s="254" t="str">
        <f ca="1">VLOOKUP(AuswDipl0[[#This Row],[Nummer]],_Diplom,W$6,FALSE)</f>
        <v>Wurfdisziplinen nicht durchgeführt</v>
      </c>
      <c r="X15" s="254" t="str">
        <f ca="1">IFERROR(VLOOKUP(AuswDipl0[[#This Row],[Wurf0]],INDIRECT($A$2),1,0),$W$4)</f>
        <v>Wurfdisziplinen</v>
      </c>
      <c r="Y15" s="254" t="str">
        <f ca="1">IF(AuswDipl0[[#This Row],[Wurf00]]=$W$4,MID(AuswDipl0[[#This Row],[Wurf0]],FIND(" ",AuswDipl0[[#This Row],[Wurf0]],1)+1,LEN(AuswDipl0[[#This Row],[Wurf0]])),"")</f>
        <v>nicht durchgeführt</v>
      </c>
      <c r="Z15" s="254" t="str">
        <f ca="1">IF(AuswDipl0[[#This Row],[Wurf000]]=Stammdaten!$AY$27,AuswDipl0[[#This Row],[Wurf000]],"")</f>
        <v>nicht durchgeführt</v>
      </c>
      <c r="AA15" s="254" t="str">
        <f ca="1">IF(VLOOKUP(AuswDipl0[[#This Row],[Nummer]],_Diplom,AA$6,FALSE)="",""," "&amp;VLOOKUP(AuswDipl0[[#This Row],[Nummer]],_Diplom,AA$6,FALSE))</f>
        <v/>
      </c>
      <c r="AB15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5" s="254" t="str">
        <f ca="1">IF(VLOOKUP(AuswDipl0[[#This Row],[Nummer]],_Diplom,AC$6,FALSE)&lt;&gt;"","("&amp;VLOOKUP(AuswDipl0[[#This Row],[Nummer]],_Diplom,AC$6,FALSE)&amp;")","")</f>
        <v/>
      </c>
      <c r="AD15" s="254" t="str">
        <f ca="1">IF(AuswDipl0[[#This Row],[ErGe_Höchst]]&lt;&gt;"",VLOOKUP(AuswDipl0[[#This Row],[Nummer]],_Diplom,$AD$6,FALSE),VLOOKUP(AuswDipl0[[#This Row],[Nummer]],_Diplom,$AD$6,FALSE))</f>
        <v>Erstes Gerät</v>
      </c>
      <c r="AE15" s="254" t="str">
        <f ca="1">VLOOKUP(AuswDipl0[[#This Row],[Nummer]],_Diplom,$AE$6,FALSE)</f>
        <v>nicht durchgeführt</v>
      </c>
      <c r="AF15" s="254" t="str">
        <f ca="1">IF(AuswDipl0[[#This Row],[ErGe_Höchst]]&lt;&gt;"",AuswDipl0[[#This Row],[ErGe_Höchst]],AuswDipl0[[#This Row],[ErGe_Txt2]])</f>
        <v>nicht durchgeführt</v>
      </c>
      <c r="AG15" s="254" t="str">
        <f ca="1">VLOOKUP(AuswDipl0[[#This Row],[Nummer]],_Diplom,$AG$6,FALSE)</f>
        <v/>
      </c>
      <c r="AH15" s="254" t="str">
        <f>VLOOKUP(AuswDipl0[[#This Row],[Nummer]],_Diplom,$AH$6,FALSE)</f>
        <v/>
      </c>
      <c r="AI15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5" s="254" t="str">
        <f ca="1">VLOOKUP(AuswDipl0[[#This Row],[Nummer]],_Diplom,$AJ$6,FALSE)</f>
        <v/>
      </c>
      <c r="AK15" s="254" t="str">
        <f ca="1">IF(AuswDipl0[[#This Row],[ZwGe_Höchst]]&lt;&gt;"",VLOOKUP(AuswDipl0[[#This Row],[Nummer]],_Diplom,$AK$6,FALSE),VLOOKUP(AuswDipl0[[#This Row],[Nummer]],_Diplom,$AK$6,FALSE))</f>
        <v>Zweites Gerät</v>
      </c>
      <c r="AL15" s="254" t="str">
        <f ca="1">VLOOKUP(AuswDipl0[[#This Row],[Nummer]],_Diplom,$AL$6,FALSE)</f>
        <v>nicht durchgeführt</v>
      </c>
      <c r="AM15" s="254" t="str">
        <f ca="1">IF(AuswDipl0[[#This Row],[ZwGe_Höchst]]&lt;&gt;"",AuswDipl0[[#This Row],[ZwGe_Höchst]],AuswDipl0[[#This Row],[ZwGe_Txt2]])</f>
        <v>nicht durchgeführt</v>
      </c>
      <c r="AN15" s="254" t="str">
        <f ca="1">VLOOKUP(AuswDipl0[[#This Row],[Nummer]],_Diplom,$AN$6,FALSE)</f>
        <v/>
      </c>
      <c r="AO15" s="254" t="str">
        <f>VLOOKUP(AuswDipl0[[#This Row],[Nummer]],_Diplom,$AO$6,FALSE)</f>
        <v/>
      </c>
      <c r="AP15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5" s="254" t="str">
        <f ca="1">VLOOKUP(AuswDipl0[[#This Row],[Nummer]],_Diplom,$AQ$6,FALSE)</f>
        <v/>
      </c>
      <c r="AR15" s="254" t="str">
        <f ca="1">IF(AuswDipl0[[#This Row],[DrGe_Höchst]]&lt;&gt;"",VLOOKUP(AuswDipl0[[#This Row],[Nummer]],_Diplom,$AR$6,FALSE),VLOOKUP(AuswDipl0[[#This Row],[Nummer]],_Diplom,$AR$6,FALSE))</f>
        <v>Drittes Gerät</v>
      </c>
      <c r="AS15" s="254" t="str">
        <f ca="1">VLOOKUP(AuswDipl0[[#This Row],[Nummer]],_Diplom,$AS$6,FALSE)</f>
        <v>nicht durchgeführt</v>
      </c>
      <c r="AT15" s="254" t="str">
        <f ca="1">IF(AuswDipl0[[#This Row],[DrGe_Höchst]]&lt;&gt;"",AuswDipl0[[#This Row],[DrGe_Höchst]],AuswDipl0[[#This Row],[DrGe_Txt2]])</f>
        <v>nicht durchgeführt</v>
      </c>
      <c r="AU15" s="254" t="str">
        <f ca="1">VLOOKUP(AuswDipl0[[#This Row],[Nummer]],_Diplom,$AU$6,FALSE)</f>
        <v/>
      </c>
      <c r="AV15" s="254" t="str">
        <f>VLOOKUP(AuswDipl0[[#This Row],[Nummer]],_Diplom,$AV$6,FALSE)</f>
        <v/>
      </c>
      <c r="AW15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5" s="254" t="str">
        <f ca="1">VLOOKUP(AuswDipl0[[#This Row],[Nummer]],_Diplom,$AX$6,FALSE)</f>
        <v/>
      </c>
      <c r="AY15" s="254" t="str">
        <f t="shared" si="0"/>
        <v>Parkour</v>
      </c>
      <c r="AZ15" s="254">
        <f ca="1">INDEX(INDIRECT($AZ$2),AuswDipl0[[#This Row],[Nummer]])</f>
        <v>0</v>
      </c>
      <c r="BA15" s="254" t="str">
        <f ca="1">IFERROR(IF(AuswDipl0[[#This Row],[ParkourPkte0]]&gt;0," "&amp;INDEX(INDIRECT($BA$2),MATCH($AY$1,INDIRECT($A$2),0)),""),"")</f>
        <v/>
      </c>
      <c r="BB15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5" s="254" t="str">
        <f ca="1">IF(AuswDipl0[[#This Row],[ParkourMax]]&lt;&gt;"",AuswDipl0[[#This Row],[ParkourMax]],Stammdaten!$AY$27)</f>
        <v>nicht durchgeführt</v>
      </c>
      <c r="BD15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5" s="254" t="str">
        <f ca="1">IF(AuswDipl0[[#This Row],[ParkourPkte1]]="","",VLOOKUP(AuswDipl0[[#This Row],[Nummer]],_Diplom,BE$6,FALSE))</f>
        <v/>
      </c>
      <c r="BF15" s="254" t="str">
        <f ca="1">VLOOKUP(AuswDipl0[[#This Row],[Nummer]],_Diplom,BF$6,FALSE)</f>
        <v>Darstellen und Tanzen</v>
      </c>
      <c r="BG15" s="254" t="str">
        <f ca="1">VLOOKUP(AuswDipl0[[#This Row],[Nummer]],_Diplom,BG$6,FALSE)</f>
        <v>nicht durchgeführt</v>
      </c>
      <c r="BH15" s="254" t="str">
        <f ca="1">IF(AuswDipl0[[#This Row],[BS_3_Max]]&lt;&gt;"",AuswDipl0[[#This Row],[BS_3_Max]],AuswDipl0[[#This Row],[BS_3_Txt1]])</f>
        <v>nicht durchgeführt</v>
      </c>
      <c r="BI15" s="254" t="str">
        <f ca="1">IF(VLOOKUP(AuswDipl0[[#This Row],[Nummer]],_Diplom,BI$6,FALSE)="","",VLOOKUP(AuswDipl0[[#This Row],[Nummer]],_Diplom,BI$6,FALSE))</f>
        <v/>
      </c>
      <c r="BJ15" s="254" t="str">
        <f ca="1">IF(AuswDipl0[[#This Row],[BS_3_Txt1]]=Stammdaten!$AX$19,AuswDipl0[[#This Row],[BS_3_Txt1]],AuswDipl0[[#This Row],[BS_3_Pkte0]]&amp;AuswDipl0[[#This Row],[BS_3_Mass]])</f>
        <v/>
      </c>
      <c r="BK15" s="254" t="str">
        <f ca="1">IFERROR(" "&amp;INDEX(INDIRECT($BK$2),MATCH(AuswDipl0[[#This Row],[BS_3_Txt0]],INDIRECT($A$2),0)),"")</f>
        <v/>
      </c>
      <c r="BL15" s="254" t="str">
        <f ca="1">VLOOKUP(AuswDipl0[[#This Row],[Nummer]],_Diplom,BL$6,FALSE)</f>
        <v/>
      </c>
      <c r="BM15" s="254" t="str">
        <f ca="1">IF(AuswDipl0[[#This Row],[ErSp_Höchst]]&lt;&gt;"",VLOOKUP(AuswDipl0[[#This Row],[Nummer]],_Diplom,$BM$6,FALSE),VLOOKUP(AuswDipl0[[#This Row],[Nummer]],_Diplom,$BM$6,FALSE))</f>
        <v>Erste Spielsportart</v>
      </c>
      <c r="BN15" s="254" t="str">
        <f ca="1">VLOOKUP(AuswDipl0[[#This Row],[Nummer]],_Diplom,$BN$6,FALSE)</f>
        <v>nicht durchgeführt</v>
      </c>
      <c r="BO15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5" s="254" t="str">
        <f ca="1">VLOOKUP(AuswDipl0[[#This Row],[Nummer]],_Diplom,$BP$6,FALSE)</f>
        <v/>
      </c>
      <c r="BQ15" s="254" t="str">
        <f ca="1">VLOOKUP(AuswDipl0[[#This Row],[Nummer]],_Diplom,$BQ$6,FALSE)</f>
        <v/>
      </c>
      <c r="BR15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5" s="254" t="str">
        <f ca="1">VLOOKUP(AuswDipl0[[#This Row],[Nummer]],_Diplom,$BS$6,FALSE)</f>
        <v/>
      </c>
      <c r="BT15" s="254" t="str">
        <f ca="1">VLOOKUP(AuswDipl0[[#This Row],[Nummer]],_Diplom,$BT$6,FALSE)</f>
        <v/>
      </c>
      <c r="BU15" s="254" t="str">
        <f ca="1">IF(AuswDipl0[[#This Row],[ZwSp_Höchst]]&lt;&gt;"",VLOOKUP(AuswDipl0[[#This Row],[Nummer]],_Diplom,$BU$6,FALSE),VLOOKUP(AuswDipl0[[#This Row],[Nummer]],_Diplom,$BU$6,FALSE))</f>
        <v>Zweite Spielsportart</v>
      </c>
      <c r="BV15" s="254" t="str">
        <f ca="1">VLOOKUP(AuswDipl0[[#This Row],[Nummer]],_Diplom,$BV$6,FALSE)</f>
        <v>nicht durchgeführt</v>
      </c>
      <c r="BW15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5" s="254" t="str">
        <f ca="1">VLOOKUP(AuswDipl0[[#This Row],[Nummer]],_Diplom,$BX$6,FALSE)</f>
        <v/>
      </c>
      <c r="BY15" s="254" t="str">
        <f ca="1">VLOOKUP(AuswDipl0[[#This Row],[Nummer]],_Diplom,$BY$6,FALSE)</f>
        <v/>
      </c>
      <c r="BZ15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5" s="254" t="str">
        <f ca="1">VLOOKUP(AuswDipl0[[#This Row],[Nummer]],_Diplom,$CA$6,FALSE)</f>
        <v/>
      </c>
      <c r="CB15" s="254" t="str">
        <f ca="1">VLOOKUP(AuswDipl0[[#This Row],[Nummer]],_Diplom,$CB$6,FALSE)</f>
        <v/>
      </c>
      <c r="CC15" s="254" t="str">
        <f ca="1">IF(AuswDipl0[[#This Row],[DrSp_Höchst]]&lt;&gt;"",VLOOKUP(AuswDipl0[[#This Row],[Nummer]],_Diplom,$CC$6,FALSE),VLOOKUP(AuswDipl0[[#This Row],[Nummer]],_Diplom,$CC$6,FALSE))</f>
        <v>Dritte Spielsportart</v>
      </c>
      <c r="CD15" s="254" t="str">
        <f ca="1">VLOOKUP(AuswDipl0[[#This Row],[Nummer]],_Diplom,$CD$6,FALSE)</f>
        <v>nicht durchgeführt</v>
      </c>
      <c r="CE15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5" s="254" t="str">
        <f ca="1">VLOOKUP(AuswDipl0[[#This Row],[Nummer]],_Diplom,$CF$6,FALSE)</f>
        <v/>
      </c>
      <c r="CG15" s="254" t="str">
        <f ca="1">VLOOKUP(AuswDipl0[[#This Row],[Nummer]],_Diplom,$CG$6,FALSE)</f>
        <v/>
      </c>
      <c r="CH15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5" s="254" t="str">
        <f ca="1">VLOOKUP(AuswDipl0[[#This Row],[Nummer]],_Diplom,$CI$6,FALSE)</f>
        <v/>
      </c>
      <c r="CJ15" s="254" t="str">
        <f ca="1">VLOOKUP(AuswDipl0[[#This Row],[Nummer]],_Diplom,$CJ$6,FALSE)</f>
        <v/>
      </c>
      <c r="CK15" s="254" t="str">
        <f ca="1">VLOOKUP(AuswDipl0[[#This Row],[Nummer]],_Diplom,CK$6,FALSE)</f>
        <v>Zu wenige Noten</v>
      </c>
      <c r="CL15" s="254">
        <f ca="1">VLOOKUP(AuswDipl0[[#This Row],[Nummer]],_Diplom,CL$6,FALSE)</f>
        <v>0</v>
      </c>
      <c r="CM15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5" s="254">
        <f ca="1">IFERROR(INDEX(INDIRECT($CN$4),MATCH(AuswDipl0[[#This Row],[BS_1_Med]],INDIRECT($CN$3),0)),6)</f>
        <v>6</v>
      </c>
      <c r="CO15" s="254" t="str">
        <f ca="1">VLOOKUP(AuswDipl0[[#This Row],[Nummer]],_Diplom,CO$6,FALSE)</f>
        <v>Zu wenige Noten</v>
      </c>
      <c r="CP15" s="254">
        <f>VLOOKUP(AuswDipl0[[#This Row],[Nummer]],_Diplom,CP$6,FALSE)</f>
        <v>0</v>
      </c>
      <c r="CQ15" s="254">
        <f ca="1">VLOOKUP(AuswDipl0[[#This Row],[Nummer]],_Diplom,CQ$6,FALSE)</f>
        <v>0</v>
      </c>
      <c r="CR15" s="254">
        <f ca="1">IF(AND(AuswDipl0[[#This Row],[BS_2_AnzGer]]&gt;=$CP$2,AND(ISNUMBER(AuswDipl0[[#This Row],[BS_2_Park]]),AuswDipl0[[#This Row],[BS_2_Park]]&gt;0)),1,0)</f>
        <v>0</v>
      </c>
      <c r="CS15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5" s="254">
        <f ca="1">IFERROR(INDEX(INDIRECT($CT$4),MATCH(AuswDipl0[[#This Row],[BS_2_Med]],INDIRECT($CT$3),0)),6)</f>
        <v>6</v>
      </c>
      <c r="CU15" s="254" t="str">
        <f ca="1">VLOOKUP(AuswDipl0[[#This Row],[Nummer]],_Diplom,CU$6,FALSE)</f>
        <v>Zu wenige Noten</v>
      </c>
      <c r="CV15" s="254">
        <f ca="1">IF(AuswDipl0[[#This Row],[BS_3_Erg]]=INDEX(StdFehler[StdFehler],4),0,IF(AuswDipl0[[#This Row],[BS_3_Erg]]=Stammdaten!$AX$19,Stammdaten!$AX$19,VALUE(AuswDipl0[[#This Row],[BS_3_Erg]])))</f>
        <v>0</v>
      </c>
      <c r="CW15" s="254" t="str">
        <f ca="1">IF(AuswDipl0[[#This Row],[BS_3_x]]=0,"",INDEX(INDIRECT(CW$4),MATCH(AuswDipl0[[#This Row],[BS_3_x]],INDIRECT(CW$3),0)))</f>
        <v/>
      </c>
      <c r="CX15" s="254">
        <f ca="1">IFERROR(INDEX(INDIRECT($CX$4),MATCH(AuswDipl0[[#This Row],[BS_3_Med]],INDIRECT($CX$3),0)),6)</f>
        <v>6</v>
      </c>
      <c r="CY15" s="254" t="str">
        <f ca="1">VLOOKUP(AuswDipl0[[#This Row],[Nummer]],_Diplom,CY$6,FALSE)</f>
        <v>Zu wenige Noten</v>
      </c>
      <c r="CZ15" s="254">
        <f ca="1">VLOOKUP(AuswDipl0[[#This Row],[Nummer]],_Diplom,CZ$6,FALSE)</f>
        <v>0</v>
      </c>
      <c r="DA15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5" s="254">
        <f ca="1">IFERROR(INDEX(INDIRECT($DB$4),MATCH(AuswDipl0[[#This Row],[BS_4_Med]],INDIRECT($DB$3),0)),6)</f>
        <v>6</v>
      </c>
    </row>
    <row r="16" spans="1:106" ht="12" customHeight="1" x14ac:dyDescent="0.25">
      <c r="A16" s="254">
        <v>10</v>
      </c>
      <c r="B16" s="254" t="str">
        <f ca="1">VLOOKUP(AuswDipl0[[#This Row],[Nummer]],_Diplom,B$6,FALSE)</f>
        <v>Sprintdisziplinen nicht durchgeführt</v>
      </c>
      <c r="C16" s="254" t="str">
        <f ca="1">IFERROR(VLOOKUP(AuswDipl0[[#This Row],[Sprint0]],INDIRECT($A$2),1,0),$B$4)</f>
        <v>Sprintdisziplinen</v>
      </c>
      <c r="D16" s="254" t="str">
        <f ca="1">IF(AuswDipl0[[#This Row],[Sprint00]]=$B$4,MID(AuswDipl0[[#This Row],[Sprint0]],FIND(" ",AuswDipl0[[#This Row],[Sprint0]],1)+1,LEN(AuswDipl0[[#This Row],[Sprint0]])),"")</f>
        <v>nicht durchgeführt</v>
      </c>
      <c r="E16" s="254" t="str">
        <f ca="1">IF(AuswDipl0[[#This Row],[Sprint000]]=Stammdaten!$AY$27,AuswDipl0[[#This Row],[Sprint000]],"")</f>
        <v>nicht durchgeführt</v>
      </c>
      <c r="F16" s="254" t="str">
        <f ca="1">IF(VLOOKUP(AuswDipl0[[#This Row],[Nummer]],_Diplom,F$6,FALSE)="",""," "&amp;VLOOKUP(AuswDipl0[[#This Row],[Nummer]],_Diplom,F$6,FALSE))</f>
        <v/>
      </c>
      <c r="G16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6" s="254" t="str">
        <f ca="1">IF(VLOOKUP(AuswDipl0[[#This Row],[Nummer]],_Diplom,H$6,FALSE)&lt;&gt;"","("&amp;VLOOKUP(AuswDipl0[[#This Row],[Nummer]],_Diplom,H$6,FALSE)&amp;")","")</f>
        <v/>
      </c>
      <c r="I16" s="254" t="str">
        <f ca="1">VLOOKUP(AuswDipl0[[#This Row],[Nummer]],_Diplom,I$6,FALSE)</f>
        <v>Ausdauerdisziplinen nicht durchgeführt</v>
      </c>
      <c r="J16" s="254" t="str">
        <f ca="1">IFERROR(VLOOKUP(AuswDipl0[[#This Row],[Ausdauer0]],INDIRECT($A$2),1,0),$I$4)</f>
        <v>Ausdauerdisziplinen</v>
      </c>
      <c r="K16" s="254" t="str">
        <f ca="1">IF(AuswDipl0[[#This Row],[Ausdauer00]]=$I$4,MID(AuswDipl0[[#This Row],[Ausdauer0]],FIND(" ",AuswDipl0[[#This Row],[Ausdauer0]],1)+1,LEN(AuswDipl0[[#This Row],[Ausdauer0]])),"")</f>
        <v>nicht durchgeführt</v>
      </c>
      <c r="L16" s="254" t="str">
        <f ca="1">IF(AuswDipl0[[#This Row],[Ausdauer000]]=Stammdaten!$AY$27,AuswDipl0[[#This Row],[Ausdauer000]],"")</f>
        <v>nicht durchgeführt</v>
      </c>
      <c r="M16" s="254" t="str">
        <f ca="1">IF(VLOOKUP(AuswDipl0[[#This Row],[Nummer]],_Diplom,M$6,FALSE)="",""," "&amp;VLOOKUP(AuswDipl0[[#This Row],[Nummer]],_Diplom,M$6,FALSE))</f>
        <v/>
      </c>
      <c r="N16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6" s="254" t="str">
        <f ca="1">IF(VLOOKUP(AuswDipl0[[#This Row],[Nummer]],_Diplom,O$6,FALSE)&lt;&gt;"","("&amp;VLOOKUP(AuswDipl0[[#This Row],[Nummer]],_Diplom,O$6,FALSE)&amp;")","")</f>
        <v/>
      </c>
      <c r="P16" s="254" t="str">
        <f ca="1">VLOOKUP(AuswDipl0[[#This Row],[Nummer]],_Diplom,P$6,FALSE)</f>
        <v>Sprungdisziplinen nicht durchgeführt</v>
      </c>
      <c r="Q16" s="254" t="str">
        <f ca="1">IFERROR(VLOOKUP(AuswDipl0[[#This Row],[Sprung0]],INDIRECT($A$2),1,0),$P$4)</f>
        <v>Sprungdisziplinen</v>
      </c>
      <c r="R16" s="254" t="str">
        <f ca="1">IF(AuswDipl0[[#This Row],[Sprung00]]=$P$4,MID(AuswDipl0[[#This Row],[Sprung0]],FIND(" ",AuswDipl0[[#This Row],[Sprung0]],1)+1,LEN(AuswDipl0[[#This Row],[Sprung0]])),"")</f>
        <v>nicht durchgeführt</v>
      </c>
      <c r="S16" s="254" t="str">
        <f ca="1">IF(AuswDipl0[[#This Row],[Sprung000]]=Stammdaten!$AY$27,AuswDipl0[[#This Row],[Sprung000]],"")</f>
        <v>nicht durchgeführt</v>
      </c>
      <c r="T16" s="254" t="str">
        <f ca="1">IF(VLOOKUP(AuswDipl0[[#This Row],[Nummer]],_Diplom,T$6,FALSE)="",""," "&amp;VLOOKUP(AuswDipl0[[#This Row],[Nummer]],_Diplom,T$6,FALSE))</f>
        <v/>
      </c>
      <c r="U16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6" s="254" t="str">
        <f ca="1">IF(VLOOKUP(AuswDipl0[[#This Row],[Nummer]],_Diplom,V$6,FALSE)&lt;&gt;"","("&amp;VLOOKUP(AuswDipl0[[#This Row],[Nummer]],_Diplom,V$6,FALSE)&amp;")","")</f>
        <v/>
      </c>
      <c r="W16" s="254" t="str">
        <f ca="1">VLOOKUP(AuswDipl0[[#This Row],[Nummer]],_Diplom,W$6,FALSE)</f>
        <v>Wurfdisziplinen nicht durchgeführt</v>
      </c>
      <c r="X16" s="254" t="str">
        <f ca="1">IFERROR(VLOOKUP(AuswDipl0[[#This Row],[Wurf0]],INDIRECT($A$2),1,0),$W$4)</f>
        <v>Wurfdisziplinen</v>
      </c>
      <c r="Y16" s="254" t="str">
        <f ca="1">IF(AuswDipl0[[#This Row],[Wurf00]]=$W$4,MID(AuswDipl0[[#This Row],[Wurf0]],FIND(" ",AuswDipl0[[#This Row],[Wurf0]],1)+1,LEN(AuswDipl0[[#This Row],[Wurf0]])),"")</f>
        <v>nicht durchgeführt</v>
      </c>
      <c r="Z16" s="254" t="str">
        <f ca="1">IF(AuswDipl0[[#This Row],[Wurf000]]=Stammdaten!$AY$27,AuswDipl0[[#This Row],[Wurf000]],"")</f>
        <v>nicht durchgeführt</v>
      </c>
      <c r="AA16" s="254" t="str">
        <f ca="1">IF(VLOOKUP(AuswDipl0[[#This Row],[Nummer]],_Diplom,AA$6,FALSE)="",""," "&amp;VLOOKUP(AuswDipl0[[#This Row],[Nummer]],_Diplom,AA$6,FALSE))</f>
        <v/>
      </c>
      <c r="AB16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6" s="254" t="str">
        <f ca="1">IF(VLOOKUP(AuswDipl0[[#This Row],[Nummer]],_Diplom,AC$6,FALSE)&lt;&gt;"","("&amp;VLOOKUP(AuswDipl0[[#This Row],[Nummer]],_Diplom,AC$6,FALSE)&amp;")","")</f>
        <v/>
      </c>
      <c r="AD16" s="254" t="str">
        <f ca="1">IF(AuswDipl0[[#This Row],[ErGe_Höchst]]&lt;&gt;"",VLOOKUP(AuswDipl0[[#This Row],[Nummer]],_Diplom,$AD$6,FALSE),VLOOKUP(AuswDipl0[[#This Row],[Nummer]],_Diplom,$AD$6,FALSE))</f>
        <v>Erstes Gerät</v>
      </c>
      <c r="AE16" s="254" t="str">
        <f ca="1">VLOOKUP(AuswDipl0[[#This Row],[Nummer]],_Diplom,$AE$6,FALSE)</f>
        <v>nicht durchgeführt</v>
      </c>
      <c r="AF16" s="254" t="str">
        <f ca="1">IF(AuswDipl0[[#This Row],[ErGe_Höchst]]&lt;&gt;"",AuswDipl0[[#This Row],[ErGe_Höchst]],AuswDipl0[[#This Row],[ErGe_Txt2]])</f>
        <v>nicht durchgeführt</v>
      </c>
      <c r="AG16" s="254" t="str">
        <f ca="1">VLOOKUP(AuswDipl0[[#This Row],[Nummer]],_Diplom,$AG$6,FALSE)</f>
        <v/>
      </c>
      <c r="AH16" s="254" t="str">
        <f>VLOOKUP(AuswDipl0[[#This Row],[Nummer]],_Diplom,$AH$6,FALSE)</f>
        <v/>
      </c>
      <c r="AI16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6" s="254" t="str">
        <f ca="1">VLOOKUP(AuswDipl0[[#This Row],[Nummer]],_Diplom,$AJ$6,FALSE)</f>
        <v/>
      </c>
      <c r="AK16" s="254" t="str">
        <f ca="1">IF(AuswDipl0[[#This Row],[ZwGe_Höchst]]&lt;&gt;"",VLOOKUP(AuswDipl0[[#This Row],[Nummer]],_Diplom,$AK$6,FALSE),VLOOKUP(AuswDipl0[[#This Row],[Nummer]],_Diplom,$AK$6,FALSE))</f>
        <v>Zweites Gerät</v>
      </c>
      <c r="AL16" s="254" t="str">
        <f ca="1">VLOOKUP(AuswDipl0[[#This Row],[Nummer]],_Diplom,$AL$6,FALSE)</f>
        <v>nicht durchgeführt</v>
      </c>
      <c r="AM16" s="254" t="str">
        <f ca="1">IF(AuswDipl0[[#This Row],[ZwGe_Höchst]]&lt;&gt;"",AuswDipl0[[#This Row],[ZwGe_Höchst]],AuswDipl0[[#This Row],[ZwGe_Txt2]])</f>
        <v>nicht durchgeführt</v>
      </c>
      <c r="AN16" s="254" t="str">
        <f ca="1">VLOOKUP(AuswDipl0[[#This Row],[Nummer]],_Diplom,$AN$6,FALSE)</f>
        <v/>
      </c>
      <c r="AO16" s="254" t="str">
        <f>VLOOKUP(AuswDipl0[[#This Row],[Nummer]],_Diplom,$AO$6,FALSE)</f>
        <v/>
      </c>
      <c r="AP16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6" s="254" t="str">
        <f ca="1">VLOOKUP(AuswDipl0[[#This Row],[Nummer]],_Diplom,$AQ$6,FALSE)</f>
        <v/>
      </c>
      <c r="AR16" s="254" t="str">
        <f ca="1">IF(AuswDipl0[[#This Row],[DrGe_Höchst]]&lt;&gt;"",VLOOKUP(AuswDipl0[[#This Row],[Nummer]],_Diplom,$AR$6,FALSE),VLOOKUP(AuswDipl0[[#This Row],[Nummer]],_Diplom,$AR$6,FALSE))</f>
        <v>Drittes Gerät</v>
      </c>
      <c r="AS16" s="254" t="str">
        <f ca="1">VLOOKUP(AuswDipl0[[#This Row],[Nummer]],_Diplom,$AS$6,FALSE)</f>
        <v>nicht durchgeführt</v>
      </c>
      <c r="AT16" s="254" t="str">
        <f ca="1">IF(AuswDipl0[[#This Row],[DrGe_Höchst]]&lt;&gt;"",AuswDipl0[[#This Row],[DrGe_Höchst]],AuswDipl0[[#This Row],[DrGe_Txt2]])</f>
        <v>nicht durchgeführt</v>
      </c>
      <c r="AU16" s="254" t="str">
        <f ca="1">VLOOKUP(AuswDipl0[[#This Row],[Nummer]],_Diplom,$AU$6,FALSE)</f>
        <v/>
      </c>
      <c r="AV16" s="254" t="str">
        <f>VLOOKUP(AuswDipl0[[#This Row],[Nummer]],_Diplom,$AV$6,FALSE)</f>
        <v/>
      </c>
      <c r="AW16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6" s="254" t="str">
        <f ca="1">VLOOKUP(AuswDipl0[[#This Row],[Nummer]],_Diplom,$AX$6,FALSE)</f>
        <v/>
      </c>
      <c r="AY16" s="254" t="str">
        <f t="shared" si="0"/>
        <v>Parkour</v>
      </c>
      <c r="AZ16" s="254">
        <f ca="1">INDEX(INDIRECT($AZ$2),AuswDipl0[[#This Row],[Nummer]])</f>
        <v>0</v>
      </c>
      <c r="BA16" s="254" t="str">
        <f ca="1">IFERROR(IF(AuswDipl0[[#This Row],[ParkourPkte0]]&gt;0," "&amp;INDEX(INDIRECT($BA$2),MATCH($AY$1,INDIRECT($A$2),0)),""),"")</f>
        <v/>
      </c>
      <c r="BB16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6" s="254" t="str">
        <f ca="1">IF(AuswDipl0[[#This Row],[ParkourMax]]&lt;&gt;"",AuswDipl0[[#This Row],[ParkourMax]],Stammdaten!$AY$27)</f>
        <v>nicht durchgeführt</v>
      </c>
      <c r="BD16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6" s="254" t="str">
        <f ca="1">IF(AuswDipl0[[#This Row],[ParkourPkte1]]="","",VLOOKUP(AuswDipl0[[#This Row],[Nummer]],_Diplom,BE$6,FALSE))</f>
        <v/>
      </c>
      <c r="BF16" s="254" t="str">
        <f ca="1">VLOOKUP(AuswDipl0[[#This Row],[Nummer]],_Diplom,BF$6,FALSE)</f>
        <v>Darstellen und Tanzen</v>
      </c>
      <c r="BG16" s="254" t="str">
        <f ca="1">VLOOKUP(AuswDipl0[[#This Row],[Nummer]],_Diplom,BG$6,FALSE)</f>
        <v>nicht durchgeführt</v>
      </c>
      <c r="BH16" s="254" t="str">
        <f ca="1">IF(AuswDipl0[[#This Row],[BS_3_Max]]&lt;&gt;"",AuswDipl0[[#This Row],[BS_3_Max]],AuswDipl0[[#This Row],[BS_3_Txt1]])</f>
        <v>nicht durchgeführt</v>
      </c>
      <c r="BI16" s="254" t="str">
        <f ca="1">IF(VLOOKUP(AuswDipl0[[#This Row],[Nummer]],_Diplom,BI$6,FALSE)="","",VLOOKUP(AuswDipl0[[#This Row],[Nummer]],_Diplom,BI$6,FALSE))</f>
        <v/>
      </c>
      <c r="BJ16" s="254" t="str">
        <f ca="1">IF(AuswDipl0[[#This Row],[BS_3_Txt1]]=Stammdaten!$AX$19,AuswDipl0[[#This Row],[BS_3_Txt1]],AuswDipl0[[#This Row],[BS_3_Pkte0]]&amp;AuswDipl0[[#This Row],[BS_3_Mass]])</f>
        <v/>
      </c>
      <c r="BK16" s="254" t="str">
        <f ca="1">IFERROR(" "&amp;INDEX(INDIRECT($BK$2),MATCH(AuswDipl0[[#This Row],[BS_3_Txt0]],INDIRECT($A$2),0)),"")</f>
        <v/>
      </c>
      <c r="BL16" s="254" t="str">
        <f ca="1">VLOOKUP(AuswDipl0[[#This Row],[Nummer]],_Diplom,BL$6,FALSE)</f>
        <v/>
      </c>
      <c r="BM16" s="254" t="str">
        <f ca="1">IF(AuswDipl0[[#This Row],[ErSp_Höchst]]&lt;&gt;"",VLOOKUP(AuswDipl0[[#This Row],[Nummer]],_Diplom,$BM$6,FALSE),VLOOKUP(AuswDipl0[[#This Row],[Nummer]],_Diplom,$BM$6,FALSE))</f>
        <v>Erste Spielsportart</v>
      </c>
      <c r="BN16" s="254" t="str">
        <f ca="1">VLOOKUP(AuswDipl0[[#This Row],[Nummer]],_Diplom,$BN$6,FALSE)</f>
        <v>nicht durchgeführt</v>
      </c>
      <c r="BO16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6" s="254" t="str">
        <f ca="1">VLOOKUP(AuswDipl0[[#This Row],[Nummer]],_Diplom,$BP$6,FALSE)</f>
        <v/>
      </c>
      <c r="BQ16" s="254" t="str">
        <f ca="1">VLOOKUP(AuswDipl0[[#This Row],[Nummer]],_Diplom,$BQ$6,FALSE)</f>
        <v/>
      </c>
      <c r="BR16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6" s="254" t="str">
        <f ca="1">VLOOKUP(AuswDipl0[[#This Row],[Nummer]],_Diplom,$BS$6,FALSE)</f>
        <v/>
      </c>
      <c r="BT16" s="254" t="str">
        <f ca="1">VLOOKUP(AuswDipl0[[#This Row],[Nummer]],_Diplom,$BT$6,FALSE)</f>
        <v/>
      </c>
      <c r="BU16" s="254" t="str">
        <f ca="1">IF(AuswDipl0[[#This Row],[ZwSp_Höchst]]&lt;&gt;"",VLOOKUP(AuswDipl0[[#This Row],[Nummer]],_Diplom,$BU$6,FALSE),VLOOKUP(AuswDipl0[[#This Row],[Nummer]],_Diplom,$BU$6,FALSE))</f>
        <v>Zweite Spielsportart</v>
      </c>
      <c r="BV16" s="254" t="str">
        <f ca="1">VLOOKUP(AuswDipl0[[#This Row],[Nummer]],_Diplom,$BV$6,FALSE)</f>
        <v>nicht durchgeführt</v>
      </c>
      <c r="BW16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6" s="254" t="str">
        <f ca="1">VLOOKUP(AuswDipl0[[#This Row],[Nummer]],_Diplom,$BX$6,FALSE)</f>
        <v/>
      </c>
      <c r="BY16" s="254" t="str">
        <f ca="1">VLOOKUP(AuswDipl0[[#This Row],[Nummer]],_Diplom,$BY$6,FALSE)</f>
        <v/>
      </c>
      <c r="BZ16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6" s="254" t="str">
        <f ca="1">VLOOKUP(AuswDipl0[[#This Row],[Nummer]],_Diplom,$CA$6,FALSE)</f>
        <v/>
      </c>
      <c r="CB16" s="254" t="str">
        <f ca="1">VLOOKUP(AuswDipl0[[#This Row],[Nummer]],_Diplom,$CB$6,FALSE)</f>
        <v/>
      </c>
      <c r="CC16" s="254" t="str">
        <f ca="1">IF(AuswDipl0[[#This Row],[DrSp_Höchst]]&lt;&gt;"",VLOOKUP(AuswDipl0[[#This Row],[Nummer]],_Diplom,$CC$6,FALSE),VLOOKUP(AuswDipl0[[#This Row],[Nummer]],_Diplom,$CC$6,FALSE))</f>
        <v>Dritte Spielsportart</v>
      </c>
      <c r="CD16" s="254" t="str">
        <f ca="1">VLOOKUP(AuswDipl0[[#This Row],[Nummer]],_Diplom,$CD$6,FALSE)</f>
        <v>nicht durchgeführt</v>
      </c>
      <c r="CE16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6" s="254" t="str">
        <f ca="1">VLOOKUP(AuswDipl0[[#This Row],[Nummer]],_Diplom,$CF$6,FALSE)</f>
        <v/>
      </c>
      <c r="CG16" s="254" t="str">
        <f ca="1">VLOOKUP(AuswDipl0[[#This Row],[Nummer]],_Diplom,$CG$6,FALSE)</f>
        <v/>
      </c>
      <c r="CH16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6" s="254" t="str">
        <f ca="1">VLOOKUP(AuswDipl0[[#This Row],[Nummer]],_Diplom,$CI$6,FALSE)</f>
        <v/>
      </c>
      <c r="CJ16" s="254" t="str">
        <f ca="1">VLOOKUP(AuswDipl0[[#This Row],[Nummer]],_Diplom,$CJ$6,FALSE)</f>
        <v/>
      </c>
      <c r="CK16" s="254" t="str">
        <f ca="1">VLOOKUP(AuswDipl0[[#This Row],[Nummer]],_Diplom,CK$6,FALSE)</f>
        <v>Zu wenige Noten</v>
      </c>
      <c r="CL16" s="254">
        <f ca="1">VLOOKUP(AuswDipl0[[#This Row],[Nummer]],_Diplom,CL$6,FALSE)</f>
        <v>0</v>
      </c>
      <c r="CM16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6" s="254">
        <f ca="1">IFERROR(INDEX(INDIRECT($CN$4),MATCH(AuswDipl0[[#This Row],[BS_1_Med]],INDIRECT($CN$3),0)),6)</f>
        <v>6</v>
      </c>
      <c r="CO16" s="254" t="str">
        <f ca="1">VLOOKUP(AuswDipl0[[#This Row],[Nummer]],_Diplom,CO$6,FALSE)</f>
        <v>Zu wenige Noten</v>
      </c>
      <c r="CP16" s="254">
        <f>VLOOKUP(AuswDipl0[[#This Row],[Nummer]],_Diplom,CP$6,FALSE)</f>
        <v>0</v>
      </c>
      <c r="CQ16" s="254">
        <f ca="1">VLOOKUP(AuswDipl0[[#This Row],[Nummer]],_Diplom,CQ$6,FALSE)</f>
        <v>0</v>
      </c>
      <c r="CR16" s="254">
        <f ca="1">IF(AND(AuswDipl0[[#This Row],[BS_2_AnzGer]]&gt;=$CP$2,AND(ISNUMBER(AuswDipl0[[#This Row],[BS_2_Park]]),AuswDipl0[[#This Row],[BS_2_Park]]&gt;0)),1,0)</f>
        <v>0</v>
      </c>
      <c r="CS16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6" s="254">
        <f ca="1">IFERROR(INDEX(INDIRECT($CT$4),MATCH(AuswDipl0[[#This Row],[BS_2_Med]],INDIRECT($CT$3),0)),6)</f>
        <v>6</v>
      </c>
      <c r="CU16" s="254" t="str">
        <f ca="1">VLOOKUP(AuswDipl0[[#This Row],[Nummer]],_Diplom,CU$6,FALSE)</f>
        <v>Zu wenige Noten</v>
      </c>
      <c r="CV16" s="254">
        <f ca="1">IF(AuswDipl0[[#This Row],[BS_3_Erg]]=INDEX(StdFehler[StdFehler],4),0,IF(AuswDipl0[[#This Row],[BS_3_Erg]]=Stammdaten!$AX$19,Stammdaten!$AX$19,VALUE(AuswDipl0[[#This Row],[BS_3_Erg]])))</f>
        <v>0</v>
      </c>
      <c r="CW16" s="254" t="str">
        <f ca="1">IF(AuswDipl0[[#This Row],[BS_3_x]]=0,"",INDEX(INDIRECT(CW$4),MATCH(AuswDipl0[[#This Row],[BS_3_x]],INDIRECT(CW$3),0)))</f>
        <v/>
      </c>
      <c r="CX16" s="254">
        <f ca="1">IFERROR(INDEX(INDIRECT($CX$4),MATCH(AuswDipl0[[#This Row],[BS_3_Med]],INDIRECT($CX$3),0)),6)</f>
        <v>6</v>
      </c>
      <c r="CY16" s="254" t="str">
        <f ca="1">VLOOKUP(AuswDipl0[[#This Row],[Nummer]],_Diplom,CY$6,FALSE)</f>
        <v>Zu wenige Noten</v>
      </c>
      <c r="CZ16" s="254">
        <f ca="1">VLOOKUP(AuswDipl0[[#This Row],[Nummer]],_Diplom,CZ$6,FALSE)</f>
        <v>0</v>
      </c>
      <c r="DA16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6" s="254">
        <f ca="1">IFERROR(INDEX(INDIRECT($DB$4),MATCH(AuswDipl0[[#This Row],[BS_4_Med]],INDIRECT($DB$3),0)),6)</f>
        <v>6</v>
      </c>
    </row>
    <row r="17" spans="1:106" ht="12" customHeight="1" x14ac:dyDescent="0.25">
      <c r="A17" s="254">
        <v>11</v>
      </c>
      <c r="B17" s="254" t="str">
        <f ca="1">VLOOKUP(AuswDipl0[[#This Row],[Nummer]],_Diplom,B$6,FALSE)</f>
        <v>Sprintdisziplinen nicht durchgeführt</v>
      </c>
      <c r="C17" s="254" t="str">
        <f ca="1">IFERROR(VLOOKUP(AuswDipl0[[#This Row],[Sprint0]],INDIRECT($A$2),1,0),$B$4)</f>
        <v>Sprintdisziplinen</v>
      </c>
      <c r="D17" s="254" t="str">
        <f ca="1">IF(AuswDipl0[[#This Row],[Sprint00]]=$B$4,MID(AuswDipl0[[#This Row],[Sprint0]],FIND(" ",AuswDipl0[[#This Row],[Sprint0]],1)+1,LEN(AuswDipl0[[#This Row],[Sprint0]])),"")</f>
        <v>nicht durchgeführt</v>
      </c>
      <c r="E17" s="254" t="str">
        <f ca="1">IF(AuswDipl0[[#This Row],[Sprint000]]=Stammdaten!$AY$27,AuswDipl0[[#This Row],[Sprint000]],"")</f>
        <v>nicht durchgeführt</v>
      </c>
      <c r="F17" s="254" t="str">
        <f ca="1">IF(VLOOKUP(AuswDipl0[[#This Row],[Nummer]],_Diplom,F$6,FALSE)="",""," "&amp;VLOOKUP(AuswDipl0[[#This Row],[Nummer]],_Diplom,F$6,FALSE))</f>
        <v/>
      </c>
      <c r="G17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7" s="254" t="str">
        <f ca="1">IF(VLOOKUP(AuswDipl0[[#This Row],[Nummer]],_Diplom,H$6,FALSE)&lt;&gt;"","("&amp;VLOOKUP(AuswDipl0[[#This Row],[Nummer]],_Diplom,H$6,FALSE)&amp;")","")</f>
        <v/>
      </c>
      <c r="I17" s="254" t="str">
        <f ca="1">VLOOKUP(AuswDipl0[[#This Row],[Nummer]],_Diplom,I$6,FALSE)</f>
        <v>Ausdauerdisziplinen nicht durchgeführt</v>
      </c>
      <c r="J17" s="254" t="str">
        <f ca="1">IFERROR(VLOOKUP(AuswDipl0[[#This Row],[Ausdauer0]],INDIRECT($A$2),1,0),$I$4)</f>
        <v>Ausdauerdisziplinen</v>
      </c>
      <c r="K17" s="254" t="str">
        <f ca="1">IF(AuswDipl0[[#This Row],[Ausdauer00]]=$I$4,MID(AuswDipl0[[#This Row],[Ausdauer0]],FIND(" ",AuswDipl0[[#This Row],[Ausdauer0]],1)+1,LEN(AuswDipl0[[#This Row],[Ausdauer0]])),"")</f>
        <v>nicht durchgeführt</v>
      </c>
      <c r="L17" s="254" t="str">
        <f ca="1">IF(AuswDipl0[[#This Row],[Ausdauer000]]=Stammdaten!$AY$27,AuswDipl0[[#This Row],[Ausdauer000]],"")</f>
        <v>nicht durchgeführt</v>
      </c>
      <c r="M17" s="254" t="str">
        <f ca="1">IF(VLOOKUP(AuswDipl0[[#This Row],[Nummer]],_Diplom,M$6,FALSE)="",""," "&amp;VLOOKUP(AuswDipl0[[#This Row],[Nummer]],_Diplom,M$6,FALSE))</f>
        <v/>
      </c>
      <c r="N17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7" s="254" t="str">
        <f ca="1">IF(VLOOKUP(AuswDipl0[[#This Row],[Nummer]],_Diplom,O$6,FALSE)&lt;&gt;"","("&amp;VLOOKUP(AuswDipl0[[#This Row],[Nummer]],_Diplom,O$6,FALSE)&amp;")","")</f>
        <v/>
      </c>
      <c r="P17" s="254" t="str">
        <f ca="1">VLOOKUP(AuswDipl0[[#This Row],[Nummer]],_Diplom,P$6,FALSE)</f>
        <v>Sprungdisziplinen nicht durchgeführt</v>
      </c>
      <c r="Q17" s="254" t="str">
        <f ca="1">IFERROR(VLOOKUP(AuswDipl0[[#This Row],[Sprung0]],INDIRECT($A$2),1,0),$P$4)</f>
        <v>Sprungdisziplinen</v>
      </c>
      <c r="R17" s="254" t="str">
        <f ca="1">IF(AuswDipl0[[#This Row],[Sprung00]]=$P$4,MID(AuswDipl0[[#This Row],[Sprung0]],FIND(" ",AuswDipl0[[#This Row],[Sprung0]],1)+1,LEN(AuswDipl0[[#This Row],[Sprung0]])),"")</f>
        <v>nicht durchgeführt</v>
      </c>
      <c r="S17" s="254" t="str">
        <f ca="1">IF(AuswDipl0[[#This Row],[Sprung000]]=Stammdaten!$AY$27,AuswDipl0[[#This Row],[Sprung000]],"")</f>
        <v>nicht durchgeführt</v>
      </c>
      <c r="T17" s="254" t="str">
        <f ca="1">IF(VLOOKUP(AuswDipl0[[#This Row],[Nummer]],_Diplom,T$6,FALSE)="",""," "&amp;VLOOKUP(AuswDipl0[[#This Row],[Nummer]],_Diplom,T$6,FALSE))</f>
        <v/>
      </c>
      <c r="U17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7" s="254" t="str">
        <f ca="1">IF(VLOOKUP(AuswDipl0[[#This Row],[Nummer]],_Diplom,V$6,FALSE)&lt;&gt;"","("&amp;VLOOKUP(AuswDipl0[[#This Row],[Nummer]],_Diplom,V$6,FALSE)&amp;")","")</f>
        <v/>
      </c>
      <c r="W17" s="254" t="str">
        <f ca="1">VLOOKUP(AuswDipl0[[#This Row],[Nummer]],_Diplom,W$6,FALSE)</f>
        <v>Wurfdisziplinen nicht durchgeführt</v>
      </c>
      <c r="X17" s="254" t="str">
        <f ca="1">IFERROR(VLOOKUP(AuswDipl0[[#This Row],[Wurf0]],INDIRECT($A$2),1,0),$W$4)</f>
        <v>Wurfdisziplinen</v>
      </c>
      <c r="Y17" s="254" t="str">
        <f ca="1">IF(AuswDipl0[[#This Row],[Wurf00]]=$W$4,MID(AuswDipl0[[#This Row],[Wurf0]],FIND(" ",AuswDipl0[[#This Row],[Wurf0]],1)+1,LEN(AuswDipl0[[#This Row],[Wurf0]])),"")</f>
        <v>nicht durchgeführt</v>
      </c>
      <c r="Z17" s="254" t="str">
        <f ca="1">IF(AuswDipl0[[#This Row],[Wurf000]]=Stammdaten!$AY$27,AuswDipl0[[#This Row],[Wurf000]],"")</f>
        <v>nicht durchgeführt</v>
      </c>
      <c r="AA17" s="254" t="str">
        <f ca="1">IF(VLOOKUP(AuswDipl0[[#This Row],[Nummer]],_Diplom,AA$6,FALSE)="",""," "&amp;VLOOKUP(AuswDipl0[[#This Row],[Nummer]],_Diplom,AA$6,FALSE))</f>
        <v/>
      </c>
      <c r="AB17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7" s="254" t="str">
        <f ca="1">IF(VLOOKUP(AuswDipl0[[#This Row],[Nummer]],_Diplom,AC$6,FALSE)&lt;&gt;"","("&amp;VLOOKUP(AuswDipl0[[#This Row],[Nummer]],_Diplom,AC$6,FALSE)&amp;")","")</f>
        <v/>
      </c>
      <c r="AD17" s="254" t="str">
        <f ca="1">IF(AuswDipl0[[#This Row],[ErGe_Höchst]]&lt;&gt;"",VLOOKUP(AuswDipl0[[#This Row],[Nummer]],_Diplom,$AD$6,FALSE),VLOOKUP(AuswDipl0[[#This Row],[Nummer]],_Diplom,$AD$6,FALSE))</f>
        <v>Erstes Gerät</v>
      </c>
      <c r="AE17" s="254" t="str">
        <f ca="1">VLOOKUP(AuswDipl0[[#This Row],[Nummer]],_Diplom,$AE$6,FALSE)</f>
        <v>nicht durchgeführt</v>
      </c>
      <c r="AF17" s="254" t="str">
        <f ca="1">IF(AuswDipl0[[#This Row],[ErGe_Höchst]]&lt;&gt;"",AuswDipl0[[#This Row],[ErGe_Höchst]],AuswDipl0[[#This Row],[ErGe_Txt2]])</f>
        <v>nicht durchgeführt</v>
      </c>
      <c r="AG17" s="254" t="str">
        <f ca="1">VLOOKUP(AuswDipl0[[#This Row],[Nummer]],_Diplom,$AG$6,FALSE)</f>
        <v/>
      </c>
      <c r="AH17" s="254" t="str">
        <f>VLOOKUP(AuswDipl0[[#This Row],[Nummer]],_Diplom,$AH$6,FALSE)</f>
        <v/>
      </c>
      <c r="AI17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7" s="254" t="str">
        <f ca="1">VLOOKUP(AuswDipl0[[#This Row],[Nummer]],_Diplom,$AJ$6,FALSE)</f>
        <v/>
      </c>
      <c r="AK17" s="254" t="str">
        <f ca="1">IF(AuswDipl0[[#This Row],[ZwGe_Höchst]]&lt;&gt;"",VLOOKUP(AuswDipl0[[#This Row],[Nummer]],_Diplom,$AK$6,FALSE),VLOOKUP(AuswDipl0[[#This Row],[Nummer]],_Diplom,$AK$6,FALSE))</f>
        <v>Zweites Gerät</v>
      </c>
      <c r="AL17" s="254" t="str">
        <f ca="1">VLOOKUP(AuswDipl0[[#This Row],[Nummer]],_Diplom,$AL$6,FALSE)</f>
        <v>nicht durchgeführt</v>
      </c>
      <c r="AM17" s="254" t="str">
        <f ca="1">IF(AuswDipl0[[#This Row],[ZwGe_Höchst]]&lt;&gt;"",AuswDipl0[[#This Row],[ZwGe_Höchst]],AuswDipl0[[#This Row],[ZwGe_Txt2]])</f>
        <v>nicht durchgeführt</v>
      </c>
      <c r="AN17" s="254" t="str">
        <f ca="1">VLOOKUP(AuswDipl0[[#This Row],[Nummer]],_Diplom,$AN$6,FALSE)</f>
        <v/>
      </c>
      <c r="AO17" s="254" t="str">
        <f>VLOOKUP(AuswDipl0[[#This Row],[Nummer]],_Diplom,$AO$6,FALSE)</f>
        <v/>
      </c>
      <c r="AP17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7" s="254" t="str">
        <f ca="1">VLOOKUP(AuswDipl0[[#This Row],[Nummer]],_Diplom,$AQ$6,FALSE)</f>
        <v/>
      </c>
      <c r="AR17" s="254" t="str">
        <f ca="1">IF(AuswDipl0[[#This Row],[DrGe_Höchst]]&lt;&gt;"",VLOOKUP(AuswDipl0[[#This Row],[Nummer]],_Diplom,$AR$6,FALSE),VLOOKUP(AuswDipl0[[#This Row],[Nummer]],_Diplom,$AR$6,FALSE))</f>
        <v>Drittes Gerät</v>
      </c>
      <c r="AS17" s="254" t="str">
        <f ca="1">VLOOKUP(AuswDipl0[[#This Row],[Nummer]],_Diplom,$AS$6,FALSE)</f>
        <v>nicht durchgeführt</v>
      </c>
      <c r="AT17" s="254" t="str">
        <f ca="1">IF(AuswDipl0[[#This Row],[DrGe_Höchst]]&lt;&gt;"",AuswDipl0[[#This Row],[DrGe_Höchst]],AuswDipl0[[#This Row],[DrGe_Txt2]])</f>
        <v>nicht durchgeführt</v>
      </c>
      <c r="AU17" s="254" t="str">
        <f ca="1">VLOOKUP(AuswDipl0[[#This Row],[Nummer]],_Diplom,$AU$6,FALSE)</f>
        <v/>
      </c>
      <c r="AV17" s="254" t="str">
        <f>VLOOKUP(AuswDipl0[[#This Row],[Nummer]],_Diplom,$AV$6,FALSE)</f>
        <v/>
      </c>
      <c r="AW17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7" s="254" t="str">
        <f ca="1">VLOOKUP(AuswDipl0[[#This Row],[Nummer]],_Diplom,$AX$6,FALSE)</f>
        <v/>
      </c>
      <c r="AY17" s="254" t="str">
        <f t="shared" si="0"/>
        <v>Parkour</v>
      </c>
      <c r="AZ17" s="254">
        <f ca="1">INDEX(INDIRECT($AZ$2),AuswDipl0[[#This Row],[Nummer]])</f>
        <v>0</v>
      </c>
      <c r="BA17" s="254" t="str">
        <f ca="1">IFERROR(IF(AuswDipl0[[#This Row],[ParkourPkte0]]&gt;0," "&amp;INDEX(INDIRECT($BA$2),MATCH($AY$1,INDIRECT($A$2),0)),""),"")</f>
        <v/>
      </c>
      <c r="BB17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7" s="254" t="str">
        <f ca="1">IF(AuswDipl0[[#This Row],[ParkourMax]]&lt;&gt;"",AuswDipl0[[#This Row],[ParkourMax]],Stammdaten!$AY$27)</f>
        <v>nicht durchgeführt</v>
      </c>
      <c r="BD17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7" s="254" t="str">
        <f ca="1">IF(AuswDipl0[[#This Row],[ParkourPkte1]]="","",VLOOKUP(AuswDipl0[[#This Row],[Nummer]],_Diplom,BE$6,FALSE))</f>
        <v/>
      </c>
      <c r="BF17" s="254" t="str">
        <f ca="1">VLOOKUP(AuswDipl0[[#This Row],[Nummer]],_Diplom,BF$6,FALSE)</f>
        <v>Darstellen und Tanzen</v>
      </c>
      <c r="BG17" s="254" t="str">
        <f ca="1">VLOOKUP(AuswDipl0[[#This Row],[Nummer]],_Diplom,BG$6,FALSE)</f>
        <v>nicht durchgeführt</v>
      </c>
      <c r="BH17" s="254" t="str">
        <f ca="1">IF(AuswDipl0[[#This Row],[BS_3_Max]]&lt;&gt;"",AuswDipl0[[#This Row],[BS_3_Max]],AuswDipl0[[#This Row],[BS_3_Txt1]])</f>
        <v>nicht durchgeführt</v>
      </c>
      <c r="BI17" s="254" t="str">
        <f ca="1">IF(VLOOKUP(AuswDipl0[[#This Row],[Nummer]],_Diplom,BI$6,FALSE)="","",VLOOKUP(AuswDipl0[[#This Row],[Nummer]],_Diplom,BI$6,FALSE))</f>
        <v/>
      </c>
      <c r="BJ17" s="254" t="str">
        <f ca="1">IF(AuswDipl0[[#This Row],[BS_3_Txt1]]=Stammdaten!$AX$19,AuswDipl0[[#This Row],[BS_3_Txt1]],AuswDipl0[[#This Row],[BS_3_Pkte0]]&amp;AuswDipl0[[#This Row],[BS_3_Mass]])</f>
        <v/>
      </c>
      <c r="BK17" s="254" t="str">
        <f ca="1">IFERROR(" "&amp;INDEX(INDIRECT($BK$2),MATCH(AuswDipl0[[#This Row],[BS_3_Txt0]],INDIRECT($A$2),0)),"")</f>
        <v/>
      </c>
      <c r="BL17" s="254" t="str">
        <f ca="1">VLOOKUP(AuswDipl0[[#This Row],[Nummer]],_Diplom,BL$6,FALSE)</f>
        <v/>
      </c>
      <c r="BM17" s="254" t="str">
        <f ca="1">IF(AuswDipl0[[#This Row],[ErSp_Höchst]]&lt;&gt;"",VLOOKUP(AuswDipl0[[#This Row],[Nummer]],_Diplom,$BM$6,FALSE),VLOOKUP(AuswDipl0[[#This Row],[Nummer]],_Diplom,$BM$6,FALSE))</f>
        <v>Erste Spielsportart</v>
      </c>
      <c r="BN17" s="254" t="str">
        <f ca="1">VLOOKUP(AuswDipl0[[#This Row],[Nummer]],_Diplom,$BN$6,FALSE)</f>
        <v>nicht durchgeführt</v>
      </c>
      <c r="BO17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7" s="254" t="str">
        <f ca="1">VLOOKUP(AuswDipl0[[#This Row],[Nummer]],_Diplom,$BP$6,FALSE)</f>
        <v/>
      </c>
      <c r="BQ17" s="254" t="str">
        <f ca="1">VLOOKUP(AuswDipl0[[#This Row],[Nummer]],_Diplom,$BQ$6,FALSE)</f>
        <v/>
      </c>
      <c r="BR17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7" s="254" t="str">
        <f ca="1">VLOOKUP(AuswDipl0[[#This Row],[Nummer]],_Diplom,$BS$6,FALSE)</f>
        <v/>
      </c>
      <c r="BT17" s="254" t="str">
        <f ca="1">VLOOKUP(AuswDipl0[[#This Row],[Nummer]],_Diplom,$BT$6,FALSE)</f>
        <v/>
      </c>
      <c r="BU17" s="254" t="str">
        <f ca="1">IF(AuswDipl0[[#This Row],[ZwSp_Höchst]]&lt;&gt;"",VLOOKUP(AuswDipl0[[#This Row],[Nummer]],_Diplom,$BU$6,FALSE),VLOOKUP(AuswDipl0[[#This Row],[Nummer]],_Diplom,$BU$6,FALSE))</f>
        <v>Zweite Spielsportart</v>
      </c>
      <c r="BV17" s="254" t="str">
        <f ca="1">VLOOKUP(AuswDipl0[[#This Row],[Nummer]],_Diplom,$BV$6,FALSE)</f>
        <v>nicht durchgeführt</v>
      </c>
      <c r="BW17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7" s="254" t="str">
        <f ca="1">VLOOKUP(AuswDipl0[[#This Row],[Nummer]],_Diplom,$BX$6,FALSE)</f>
        <v/>
      </c>
      <c r="BY17" s="254" t="str">
        <f ca="1">VLOOKUP(AuswDipl0[[#This Row],[Nummer]],_Diplom,$BY$6,FALSE)</f>
        <v/>
      </c>
      <c r="BZ17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7" s="254" t="str">
        <f ca="1">VLOOKUP(AuswDipl0[[#This Row],[Nummer]],_Diplom,$CA$6,FALSE)</f>
        <v/>
      </c>
      <c r="CB17" s="254" t="str">
        <f ca="1">VLOOKUP(AuswDipl0[[#This Row],[Nummer]],_Diplom,$CB$6,FALSE)</f>
        <v/>
      </c>
      <c r="CC17" s="254" t="str">
        <f ca="1">IF(AuswDipl0[[#This Row],[DrSp_Höchst]]&lt;&gt;"",VLOOKUP(AuswDipl0[[#This Row],[Nummer]],_Diplom,$CC$6,FALSE),VLOOKUP(AuswDipl0[[#This Row],[Nummer]],_Diplom,$CC$6,FALSE))</f>
        <v>Dritte Spielsportart</v>
      </c>
      <c r="CD17" s="254" t="str">
        <f ca="1">VLOOKUP(AuswDipl0[[#This Row],[Nummer]],_Diplom,$CD$6,FALSE)</f>
        <v>nicht durchgeführt</v>
      </c>
      <c r="CE17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7" s="254" t="str">
        <f ca="1">VLOOKUP(AuswDipl0[[#This Row],[Nummer]],_Diplom,$CF$6,FALSE)</f>
        <v/>
      </c>
      <c r="CG17" s="254" t="str">
        <f ca="1">VLOOKUP(AuswDipl0[[#This Row],[Nummer]],_Diplom,$CG$6,FALSE)</f>
        <v/>
      </c>
      <c r="CH17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7" s="254" t="str">
        <f ca="1">VLOOKUP(AuswDipl0[[#This Row],[Nummer]],_Diplom,$CI$6,FALSE)</f>
        <v/>
      </c>
      <c r="CJ17" s="254" t="str">
        <f ca="1">VLOOKUP(AuswDipl0[[#This Row],[Nummer]],_Diplom,$CJ$6,FALSE)</f>
        <v/>
      </c>
      <c r="CK17" s="254" t="str">
        <f ca="1">VLOOKUP(AuswDipl0[[#This Row],[Nummer]],_Diplom,CK$6,FALSE)</f>
        <v>Zu wenige Noten</v>
      </c>
      <c r="CL17" s="254">
        <f ca="1">VLOOKUP(AuswDipl0[[#This Row],[Nummer]],_Diplom,CL$6,FALSE)</f>
        <v>0</v>
      </c>
      <c r="CM17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7" s="254">
        <f ca="1">IFERROR(INDEX(INDIRECT($CN$4),MATCH(AuswDipl0[[#This Row],[BS_1_Med]],INDIRECT($CN$3),0)),6)</f>
        <v>6</v>
      </c>
      <c r="CO17" s="254" t="str">
        <f ca="1">VLOOKUP(AuswDipl0[[#This Row],[Nummer]],_Diplom,CO$6,FALSE)</f>
        <v>Zu wenige Noten</v>
      </c>
      <c r="CP17" s="254">
        <f>VLOOKUP(AuswDipl0[[#This Row],[Nummer]],_Diplom,CP$6,FALSE)</f>
        <v>0</v>
      </c>
      <c r="CQ17" s="254">
        <f ca="1">VLOOKUP(AuswDipl0[[#This Row],[Nummer]],_Diplom,CQ$6,FALSE)</f>
        <v>0</v>
      </c>
      <c r="CR17" s="254">
        <f ca="1">IF(AND(AuswDipl0[[#This Row],[BS_2_AnzGer]]&gt;=$CP$2,AND(ISNUMBER(AuswDipl0[[#This Row],[BS_2_Park]]),AuswDipl0[[#This Row],[BS_2_Park]]&gt;0)),1,0)</f>
        <v>0</v>
      </c>
      <c r="CS17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7" s="254">
        <f ca="1">IFERROR(INDEX(INDIRECT($CT$4),MATCH(AuswDipl0[[#This Row],[BS_2_Med]],INDIRECT($CT$3),0)),6)</f>
        <v>6</v>
      </c>
      <c r="CU17" s="254" t="str">
        <f ca="1">VLOOKUP(AuswDipl0[[#This Row],[Nummer]],_Diplom,CU$6,FALSE)</f>
        <v>Zu wenige Noten</v>
      </c>
      <c r="CV17" s="254">
        <f ca="1">IF(AuswDipl0[[#This Row],[BS_3_Erg]]=INDEX(StdFehler[StdFehler],4),0,IF(AuswDipl0[[#This Row],[BS_3_Erg]]=Stammdaten!$AX$19,Stammdaten!$AX$19,VALUE(AuswDipl0[[#This Row],[BS_3_Erg]])))</f>
        <v>0</v>
      </c>
      <c r="CW17" s="254" t="str">
        <f ca="1">IF(AuswDipl0[[#This Row],[BS_3_x]]=0,"",INDEX(INDIRECT(CW$4),MATCH(AuswDipl0[[#This Row],[BS_3_x]],INDIRECT(CW$3),0)))</f>
        <v/>
      </c>
      <c r="CX17" s="254">
        <f ca="1">IFERROR(INDEX(INDIRECT($CX$4),MATCH(AuswDipl0[[#This Row],[BS_3_Med]],INDIRECT($CX$3),0)),6)</f>
        <v>6</v>
      </c>
      <c r="CY17" s="254" t="str">
        <f ca="1">VLOOKUP(AuswDipl0[[#This Row],[Nummer]],_Diplom,CY$6,FALSE)</f>
        <v>Zu wenige Noten</v>
      </c>
      <c r="CZ17" s="254">
        <f ca="1">VLOOKUP(AuswDipl0[[#This Row],[Nummer]],_Diplom,CZ$6,FALSE)</f>
        <v>0</v>
      </c>
      <c r="DA17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7" s="254">
        <f ca="1">IFERROR(INDEX(INDIRECT($DB$4),MATCH(AuswDipl0[[#This Row],[BS_4_Med]],INDIRECT($DB$3),0)),6)</f>
        <v>6</v>
      </c>
    </row>
    <row r="18" spans="1:106" ht="12" customHeight="1" x14ac:dyDescent="0.25">
      <c r="A18" s="254">
        <v>12</v>
      </c>
      <c r="B18" s="254" t="str">
        <f ca="1">VLOOKUP(AuswDipl0[[#This Row],[Nummer]],_Diplom,B$6,FALSE)</f>
        <v>Sprintdisziplinen nicht durchgeführt</v>
      </c>
      <c r="C18" s="254" t="str">
        <f ca="1">IFERROR(VLOOKUP(AuswDipl0[[#This Row],[Sprint0]],INDIRECT($A$2),1,0),$B$4)</f>
        <v>Sprintdisziplinen</v>
      </c>
      <c r="D18" s="254" t="str">
        <f ca="1">IF(AuswDipl0[[#This Row],[Sprint00]]=$B$4,MID(AuswDipl0[[#This Row],[Sprint0]],FIND(" ",AuswDipl0[[#This Row],[Sprint0]],1)+1,LEN(AuswDipl0[[#This Row],[Sprint0]])),"")</f>
        <v>nicht durchgeführt</v>
      </c>
      <c r="E18" s="254" t="str">
        <f ca="1">IF(AuswDipl0[[#This Row],[Sprint000]]=Stammdaten!$AY$27,AuswDipl0[[#This Row],[Sprint000]],"")</f>
        <v>nicht durchgeführt</v>
      </c>
      <c r="F18" s="254" t="str">
        <f ca="1">IF(VLOOKUP(AuswDipl0[[#This Row],[Nummer]],_Diplom,F$6,FALSE)="",""," "&amp;VLOOKUP(AuswDipl0[[#This Row],[Nummer]],_Diplom,F$6,FALSE))</f>
        <v/>
      </c>
      <c r="G18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8" s="254" t="str">
        <f ca="1">IF(VLOOKUP(AuswDipl0[[#This Row],[Nummer]],_Diplom,H$6,FALSE)&lt;&gt;"","("&amp;VLOOKUP(AuswDipl0[[#This Row],[Nummer]],_Diplom,H$6,FALSE)&amp;")","")</f>
        <v/>
      </c>
      <c r="I18" s="254" t="str">
        <f ca="1">VLOOKUP(AuswDipl0[[#This Row],[Nummer]],_Diplom,I$6,FALSE)</f>
        <v>Ausdauerdisziplinen nicht durchgeführt</v>
      </c>
      <c r="J18" s="254" t="str">
        <f ca="1">IFERROR(VLOOKUP(AuswDipl0[[#This Row],[Ausdauer0]],INDIRECT($A$2),1,0),$I$4)</f>
        <v>Ausdauerdisziplinen</v>
      </c>
      <c r="K18" s="254" t="str">
        <f ca="1">IF(AuswDipl0[[#This Row],[Ausdauer00]]=$I$4,MID(AuswDipl0[[#This Row],[Ausdauer0]],FIND(" ",AuswDipl0[[#This Row],[Ausdauer0]],1)+1,LEN(AuswDipl0[[#This Row],[Ausdauer0]])),"")</f>
        <v>nicht durchgeführt</v>
      </c>
      <c r="L18" s="254" t="str">
        <f ca="1">IF(AuswDipl0[[#This Row],[Ausdauer000]]=Stammdaten!$AY$27,AuswDipl0[[#This Row],[Ausdauer000]],"")</f>
        <v>nicht durchgeführt</v>
      </c>
      <c r="M18" s="254" t="str">
        <f ca="1">IF(VLOOKUP(AuswDipl0[[#This Row],[Nummer]],_Diplom,M$6,FALSE)="",""," "&amp;VLOOKUP(AuswDipl0[[#This Row],[Nummer]],_Diplom,M$6,FALSE))</f>
        <v/>
      </c>
      <c r="N18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8" s="254" t="str">
        <f ca="1">IF(VLOOKUP(AuswDipl0[[#This Row],[Nummer]],_Diplom,O$6,FALSE)&lt;&gt;"","("&amp;VLOOKUP(AuswDipl0[[#This Row],[Nummer]],_Diplom,O$6,FALSE)&amp;")","")</f>
        <v/>
      </c>
      <c r="P18" s="254" t="str">
        <f ca="1">VLOOKUP(AuswDipl0[[#This Row],[Nummer]],_Diplom,P$6,FALSE)</f>
        <v>Sprungdisziplinen nicht durchgeführt</v>
      </c>
      <c r="Q18" s="254" t="str">
        <f ca="1">IFERROR(VLOOKUP(AuswDipl0[[#This Row],[Sprung0]],INDIRECT($A$2),1,0),$P$4)</f>
        <v>Sprungdisziplinen</v>
      </c>
      <c r="R18" s="254" t="str">
        <f ca="1">IF(AuswDipl0[[#This Row],[Sprung00]]=$P$4,MID(AuswDipl0[[#This Row],[Sprung0]],FIND(" ",AuswDipl0[[#This Row],[Sprung0]],1)+1,LEN(AuswDipl0[[#This Row],[Sprung0]])),"")</f>
        <v>nicht durchgeführt</v>
      </c>
      <c r="S18" s="254" t="str">
        <f ca="1">IF(AuswDipl0[[#This Row],[Sprung000]]=Stammdaten!$AY$27,AuswDipl0[[#This Row],[Sprung000]],"")</f>
        <v>nicht durchgeführt</v>
      </c>
      <c r="T18" s="254" t="str">
        <f ca="1">IF(VLOOKUP(AuswDipl0[[#This Row],[Nummer]],_Diplom,T$6,FALSE)="",""," "&amp;VLOOKUP(AuswDipl0[[#This Row],[Nummer]],_Diplom,T$6,FALSE))</f>
        <v/>
      </c>
      <c r="U18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8" s="254" t="str">
        <f ca="1">IF(VLOOKUP(AuswDipl0[[#This Row],[Nummer]],_Diplom,V$6,FALSE)&lt;&gt;"","("&amp;VLOOKUP(AuswDipl0[[#This Row],[Nummer]],_Diplom,V$6,FALSE)&amp;")","")</f>
        <v/>
      </c>
      <c r="W18" s="254" t="str">
        <f ca="1">VLOOKUP(AuswDipl0[[#This Row],[Nummer]],_Diplom,W$6,FALSE)</f>
        <v>Wurfdisziplinen nicht durchgeführt</v>
      </c>
      <c r="X18" s="254" t="str">
        <f ca="1">IFERROR(VLOOKUP(AuswDipl0[[#This Row],[Wurf0]],INDIRECT($A$2),1,0),$W$4)</f>
        <v>Wurfdisziplinen</v>
      </c>
      <c r="Y18" s="254" t="str">
        <f ca="1">IF(AuswDipl0[[#This Row],[Wurf00]]=$W$4,MID(AuswDipl0[[#This Row],[Wurf0]],FIND(" ",AuswDipl0[[#This Row],[Wurf0]],1)+1,LEN(AuswDipl0[[#This Row],[Wurf0]])),"")</f>
        <v>nicht durchgeführt</v>
      </c>
      <c r="Z18" s="254" t="str">
        <f ca="1">IF(AuswDipl0[[#This Row],[Wurf000]]=Stammdaten!$AY$27,AuswDipl0[[#This Row],[Wurf000]],"")</f>
        <v>nicht durchgeführt</v>
      </c>
      <c r="AA18" s="254" t="str">
        <f ca="1">IF(VLOOKUP(AuswDipl0[[#This Row],[Nummer]],_Diplom,AA$6,FALSE)="",""," "&amp;VLOOKUP(AuswDipl0[[#This Row],[Nummer]],_Diplom,AA$6,FALSE))</f>
        <v/>
      </c>
      <c r="AB18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8" s="254" t="str">
        <f ca="1">IF(VLOOKUP(AuswDipl0[[#This Row],[Nummer]],_Diplom,AC$6,FALSE)&lt;&gt;"","("&amp;VLOOKUP(AuswDipl0[[#This Row],[Nummer]],_Diplom,AC$6,FALSE)&amp;")","")</f>
        <v/>
      </c>
      <c r="AD18" s="254" t="str">
        <f ca="1">IF(AuswDipl0[[#This Row],[ErGe_Höchst]]&lt;&gt;"",VLOOKUP(AuswDipl0[[#This Row],[Nummer]],_Diplom,$AD$6,FALSE),VLOOKUP(AuswDipl0[[#This Row],[Nummer]],_Diplom,$AD$6,FALSE))</f>
        <v>Erstes Gerät</v>
      </c>
      <c r="AE18" s="254" t="str">
        <f ca="1">VLOOKUP(AuswDipl0[[#This Row],[Nummer]],_Diplom,$AE$6,FALSE)</f>
        <v>nicht durchgeführt</v>
      </c>
      <c r="AF18" s="254" t="str">
        <f ca="1">IF(AuswDipl0[[#This Row],[ErGe_Höchst]]&lt;&gt;"",AuswDipl0[[#This Row],[ErGe_Höchst]],AuswDipl0[[#This Row],[ErGe_Txt2]])</f>
        <v>nicht durchgeführt</v>
      </c>
      <c r="AG18" s="254" t="str">
        <f ca="1">VLOOKUP(AuswDipl0[[#This Row],[Nummer]],_Diplom,$AG$6,FALSE)</f>
        <v/>
      </c>
      <c r="AH18" s="254" t="str">
        <f>VLOOKUP(AuswDipl0[[#This Row],[Nummer]],_Diplom,$AH$6,FALSE)</f>
        <v/>
      </c>
      <c r="AI18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8" s="254" t="str">
        <f ca="1">VLOOKUP(AuswDipl0[[#This Row],[Nummer]],_Diplom,$AJ$6,FALSE)</f>
        <v/>
      </c>
      <c r="AK18" s="254" t="str">
        <f ca="1">IF(AuswDipl0[[#This Row],[ZwGe_Höchst]]&lt;&gt;"",VLOOKUP(AuswDipl0[[#This Row],[Nummer]],_Diplom,$AK$6,FALSE),VLOOKUP(AuswDipl0[[#This Row],[Nummer]],_Diplom,$AK$6,FALSE))</f>
        <v>Zweites Gerät</v>
      </c>
      <c r="AL18" s="254" t="str">
        <f ca="1">VLOOKUP(AuswDipl0[[#This Row],[Nummer]],_Diplom,$AL$6,FALSE)</f>
        <v>nicht durchgeführt</v>
      </c>
      <c r="AM18" s="254" t="str">
        <f ca="1">IF(AuswDipl0[[#This Row],[ZwGe_Höchst]]&lt;&gt;"",AuswDipl0[[#This Row],[ZwGe_Höchst]],AuswDipl0[[#This Row],[ZwGe_Txt2]])</f>
        <v>nicht durchgeführt</v>
      </c>
      <c r="AN18" s="254" t="str">
        <f ca="1">VLOOKUP(AuswDipl0[[#This Row],[Nummer]],_Diplom,$AN$6,FALSE)</f>
        <v/>
      </c>
      <c r="AO18" s="254" t="str">
        <f>VLOOKUP(AuswDipl0[[#This Row],[Nummer]],_Diplom,$AO$6,FALSE)</f>
        <v/>
      </c>
      <c r="AP18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8" s="254" t="str">
        <f ca="1">VLOOKUP(AuswDipl0[[#This Row],[Nummer]],_Diplom,$AQ$6,FALSE)</f>
        <v/>
      </c>
      <c r="AR18" s="254" t="str">
        <f ca="1">IF(AuswDipl0[[#This Row],[DrGe_Höchst]]&lt;&gt;"",VLOOKUP(AuswDipl0[[#This Row],[Nummer]],_Diplom,$AR$6,FALSE),VLOOKUP(AuswDipl0[[#This Row],[Nummer]],_Diplom,$AR$6,FALSE))</f>
        <v>Drittes Gerät</v>
      </c>
      <c r="AS18" s="254" t="str">
        <f ca="1">VLOOKUP(AuswDipl0[[#This Row],[Nummer]],_Diplom,$AS$6,FALSE)</f>
        <v>nicht durchgeführt</v>
      </c>
      <c r="AT18" s="254" t="str">
        <f ca="1">IF(AuswDipl0[[#This Row],[DrGe_Höchst]]&lt;&gt;"",AuswDipl0[[#This Row],[DrGe_Höchst]],AuswDipl0[[#This Row],[DrGe_Txt2]])</f>
        <v>nicht durchgeführt</v>
      </c>
      <c r="AU18" s="254" t="str">
        <f ca="1">VLOOKUP(AuswDipl0[[#This Row],[Nummer]],_Diplom,$AU$6,FALSE)</f>
        <v/>
      </c>
      <c r="AV18" s="254" t="str">
        <f>VLOOKUP(AuswDipl0[[#This Row],[Nummer]],_Diplom,$AV$6,FALSE)</f>
        <v/>
      </c>
      <c r="AW18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8" s="254" t="str">
        <f ca="1">VLOOKUP(AuswDipl0[[#This Row],[Nummer]],_Diplom,$AX$6,FALSE)</f>
        <v/>
      </c>
      <c r="AY18" s="254" t="str">
        <f t="shared" si="0"/>
        <v>Parkour</v>
      </c>
      <c r="AZ18" s="254">
        <f ca="1">INDEX(INDIRECT($AZ$2),AuswDipl0[[#This Row],[Nummer]])</f>
        <v>0</v>
      </c>
      <c r="BA18" s="254" t="str">
        <f ca="1">IFERROR(IF(AuswDipl0[[#This Row],[ParkourPkte0]]&gt;0," "&amp;INDEX(INDIRECT($BA$2),MATCH($AY$1,INDIRECT($A$2),0)),""),"")</f>
        <v/>
      </c>
      <c r="BB18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8" s="254" t="str">
        <f ca="1">IF(AuswDipl0[[#This Row],[ParkourMax]]&lt;&gt;"",AuswDipl0[[#This Row],[ParkourMax]],Stammdaten!$AY$27)</f>
        <v>nicht durchgeführt</v>
      </c>
      <c r="BD18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8" s="254" t="str">
        <f ca="1">IF(AuswDipl0[[#This Row],[ParkourPkte1]]="","",VLOOKUP(AuswDipl0[[#This Row],[Nummer]],_Diplom,BE$6,FALSE))</f>
        <v/>
      </c>
      <c r="BF18" s="254" t="str">
        <f ca="1">VLOOKUP(AuswDipl0[[#This Row],[Nummer]],_Diplom,BF$6,FALSE)</f>
        <v>Darstellen und Tanzen</v>
      </c>
      <c r="BG18" s="254" t="str">
        <f ca="1">VLOOKUP(AuswDipl0[[#This Row],[Nummer]],_Diplom,BG$6,FALSE)</f>
        <v>nicht durchgeführt</v>
      </c>
      <c r="BH18" s="254" t="str">
        <f ca="1">IF(AuswDipl0[[#This Row],[BS_3_Max]]&lt;&gt;"",AuswDipl0[[#This Row],[BS_3_Max]],AuswDipl0[[#This Row],[BS_3_Txt1]])</f>
        <v>nicht durchgeführt</v>
      </c>
      <c r="BI18" s="254" t="str">
        <f ca="1">IF(VLOOKUP(AuswDipl0[[#This Row],[Nummer]],_Diplom,BI$6,FALSE)="","",VLOOKUP(AuswDipl0[[#This Row],[Nummer]],_Diplom,BI$6,FALSE))</f>
        <v/>
      </c>
      <c r="BJ18" s="254" t="str">
        <f ca="1">IF(AuswDipl0[[#This Row],[BS_3_Txt1]]=Stammdaten!$AX$19,AuswDipl0[[#This Row],[BS_3_Txt1]],AuswDipl0[[#This Row],[BS_3_Pkte0]]&amp;AuswDipl0[[#This Row],[BS_3_Mass]])</f>
        <v/>
      </c>
      <c r="BK18" s="254" t="str">
        <f ca="1">IFERROR(" "&amp;INDEX(INDIRECT($BK$2),MATCH(AuswDipl0[[#This Row],[BS_3_Txt0]],INDIRECT($A$2),0)),"")</f>
        <v/>
      </c>
      <c r="BL18" s="254" t="str">
        <f ca="1">VLOOKUP(AuswDipl0[[#This Row],[Nummer]],_Diplom,BL$6,FALSE)</f>
        <v/>
      </c>
      <c r="BM18" s="254" t="str">
        <f ca="1">IF(AuswDipl0[[#This Row],[ErSp_Höchst]]&lt;&gt;"",VLOOKUP(AuswDipl0[[#This Row],[Nummer]],_Diplom,$BM$6,FALSE),VLOOKUP(AuswDipl0[[#This Row],[Nummer]],_Diplom,$BM$6,FALSE))</f>
        <v>Erste Spielsportart</v>
      </c>
      <c r="BN18" s="254" t="str">
        <f ca="1">VLOOKUP(AuswDipl0[[#This Row],[Nummer]],_Diplom,$BN$6,FALSE)</f>
        <v>nicht durchgeführt</v>
      </c>
      <c r="BO18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8" s="254" t="str">
        <f ca="1">VLOOKUP(AuswDipl0[[#This Row],[Nummer]],_Diplom,$BP$6,FALSE)</f>
        <v/>
      </c>
      <c r="BQ18" s="254" t="str">
        <f ca="1">VLOOKUP(AuswDipl0[[#This Row],[Nummer]],_Diplom,$BQ$6,FALSE)</f>
        <v/>
      </c>
      <c r="BR18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8" s="254" t="str">
        <f ca="1">VLOOKUP(AuswDipl0[[#This Row],[Nummer]],_Diplom,$BS$6,FALSE)</f>
        <v/>
      </c>
      <c r="BT18" s="254" t="str">
        <f ca="1">VLOOKUP(AuswDipl0[[#This Row],[Nummer]],_Diplom,$BT$6,FALSE)</f>
        <v/>
      </c>
      <c r="BU18" s="254" t="str">
        <f ca="1">IF(AuswDipl0[[#This Row],[ZwSp_Höchst]]&lt;&gt;"",VLOOKUP(AuswDipl0[[#This Row],[Nummer]],_Diplom,$BU$6,FALSE),VLOOKUP(AuswDipl0[[#This Row],[Nummer]],_Diplom,$BU$6,FALSE))</f>
        <v>Zweite Spielsportart</v>
      </c>
      <c r="BV18" s="254" t="str">
        <f ca="1">VLOOKUP(AuswDipl0[[#This Row],[Nummer]],_Diplom,$BV$6,FALSE)</f>
        <v>nicht durchgeführt</v>
      </c>
      <c r="BW18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8" s="254" t="str">
        <f ca="1">VLOOKUP(AuswDipl0[[#This Row],[Nummer]],_Diplom,$BX$6,FALSE)</f>
        <v/>
      </c>
      <c r="BY18" s="254" t="str">
        <f ca="1">VLOOKUP(AuswDipl0[[#This Row],[Nummer]],_Diplom,$BY$6,FALSE)</f>
        <v/>
      </c>
      <c r="BZ18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8" s="254" t="str">
        <f ca="1">VLOOKUP(AuswDipl0[[#This Row],[Nummer]],_Diplom,$CA$6,FALSE)</f>
        <v/>
      </c>
      <c r="CB18" s="254" t="str">
        <f ca="1">VLOOKUP(AuswDipl0[[#This Row],[Nummer]],_Diplom,$CB$6,FALSE)</f>
        <v/>
      </c>
      <c r="CC18" s="254" t="str">
        <f ca="1">IF(AuswDipl0[[#This Row],[DrSp_Höchst]]&lt;&gt;"",VLOOKUP(AuswDipl0[[#This Row],[Nummer]],_Diplom,$CC$6,FALSE),VLOOKUP(AuswDipl0[[#This Row],[Nummer]],_Diplom,$CC$6,FALSE))</f>
        <v>Dritte Spielsportart</v>
      </c>
      <c r="CD18" s="254" t="str">
        <f ca="1">VLOOKUP(AuswDipl0[[#This Row],[Nummer]],_Diplom,$CD$6,FALSE)</f>
        <v>nicht durchgeführt</v>
      </c>
      <c r="CE18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8" s="254" t="str">
        <f ca="1">VLOOKUP(AuswDipl0[[#This Row],[Nummer]],_Diplom,$CF$6,FALSE)</f>
        <v/>
      </c>
      <c r="CG18" s="254" t="str">
        <f ca="1">VLOOKUP(AuswDipl0[[#This Row],[Nummer]],_Diplom,$CG$6,FALSE)</f>
        <v/>
      </c>
      <c r="CH18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8" s="254" t="str">
        <f ca="1">VLOOKUP(AuswDipl0[[#This Row],[Nummer]],_Diplom,$CI$6,FALSE)</f>
        <v/>
      </c>
      <c r="CJ18" s="254" t="str">
        <f ca="1">VLOOKUP(AuswDipl0[[#This Row],[Nummer]],_Diplom,$CJ$6,FALSE)</f>
        <v/>
      </c>
      <c r="CK18" s="254" t="str">
        <f ca="1">VLOOKUP(AuswDipl0[[#This Row],[Nummer]],_Diplom,CK$6,FALSE)</f>
        <v>Zu wenige Noten</v>
      </c>
      <c r="CL18" s="254">
        <f ca="1">VLOOKUP(AuswDipl0[[#This Row],[Nummer]],_Diplom,CL$6,FALSE)</f>
        <v>0</v>
      </c>
      <c r="CM18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8" s="254">
        <f ca="1">IFERROR(INDEX(INDIRECT($CN$4),MATCH(AuswDipl0[[#This Row],[BS_1_Med]],INDIRECT($CN$3),0)),6)</f>
        <v>6</v>
      </c>
      <c r="CO18" s="254" t="str">
        <f ca="1">VLOOKUP(AuswDipl0[[#This Row],[Nummer]],_Diplom,CO$6,FALSE)</f>
        <v>Zu wenige Noten</v>
      </c>
      <c r="CP18" s="254">
        <f>VLOOKUP(AuswDipl0[[#This Row],[Nummer]],_Diplom,CP$6,FALSE)</f>
        <v>0</v>
      </c>
      <c r="CQ18" s="254">
        <f ca="1">VLOOKUP(AuswDipl0[[#This Row],[Nummer]],_Diplom,CQ$6,FALSE)</f>
        <v>0</v>
      </c>
      <c r="CR18" s="254">
        <f ca="1">IF(AND(AuswDipl0[[#This Row],[BS_2_AnzGer]]&gt;=$CP$2,AND(ISNUMBER(AuswDipl0[[#This Row],[BS_2_Park]]),AuswDipl0[[#This Row],[BS_2_Park]]&gt;0)),1,0)</f>
        <v>0</v>
      </c>
      <c r="CS18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8" s="254">
        <f ca="1">IFERROR(INDEX(INDIRECT($CT$4),MATCH(AuswDipl0[[#This Row],[BS_2_Med]],INDIRECT($CT$3),0)),6)</f>
        <v>6</v>
      </c>
      <c r="CU18" s="254" t="str">
        <f ca="1">VLOOKUP(AuswDipl0[[#This Row],[Nummer]],_Diplom,CU$6,FALSE)</f>
        <v>Zu wenige Noten</v>
      </c>
      <c r="CV18" s="254">
        <f ca="1">IF(AuswDipl0[[#This Row],[BS_3_Erg]]=INDEX(StdFehler[StdFehler],4),0,IF(AuswDipl0[[#This Row],[BS_3_Erg]]=Stammdaten!$AX$19,Stammdaten!$AX$19,VALUE(AuswDipl0[[#This Row],[BS_3_Erg]])))</f>
        <v>0</v>
      </c>
      <c r="CW18" s="254" t="str">
        <f ca="1">IF(AuswDipl0[[#This Row],[BS_3_x]]=0,"",INDEX(INDIRECT(CW$4),MATCH(AuswDipl0[[#This Row],[BS_3_x]],INDIRECT(CW$3),0)))</f>
        <v/>
      </c>
      <c r="CX18" s="254">
        <f ca="1">IFERROR(INDEX(INDIRECT($CX$4),MATCH(AuswDipl0[[#This Row],[BS_3_Med]],INDIRECT($CX$3),0)),6)</f>
        <v>6</v>
      </c>
      <c r="CY18" s="254" t="str">
        <f ca="1">VLOOKUP(AuswDipl0[[#This Row],[Nummer]],_Diplom,CY$6,FALSE)</f>
        <v>Zu wenige Noten</v>
      </c>
      <c r="CZ18" s="254">
        <f ca="1">VLOOKUP(AuswDipl0[[#This Row],[Nummer]],_Diplom,CZ$6,FALSE)</f>
        <v>0</v>
      </c>
      <c r="DA18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8" s="254">
        <f ca="1">IFERROR(INDEX(INDIRECT($DB$4),MATCH(AuswDipl0[[#This Row],[BS_4_Med]],INDIRECT($DB$3),0)),6)</f>
        <v>6</v>
      </c>
    </row>
    <row r="19" spans="1:106" ht="12" customHeight="1" x14ac:dyDescent="0.25">
      <c r="A19" s="254">
        <v>13</v>
      </c>
      <c r="B19" s="254" t="str">
        <f ca="1">VLOOKUP(AuswDipl0[[#This Row],[Nummer]],_Diplom,B$6,FALSE)</f>
        <v>Sprintdisziplinen nicht durchgeführt</v>
      </c>
      <c r="C19" s="254" t="str">
        <f ca="1">IFERROR(VLOOKUP(AuswDipl0[[#This Row],[Sprint0]],INDIRECT($A$2),1,0),$B$4)</f>
        <v>Sprintdisziplinen</v>
      </c>
      <c r="D19" s="254" t="str">
        <f ca="1">IF(AuswDipl0[[#This Row],[Sprint00]]=$B$4,MID(AuswDipl0[[#This Row],[Sprint0]],FIND(" ",AuswDipl0[[#This Row],[Sprint0]],1)+1,LEN(AuswDipl0[[#This Row],[Sprint0]])),"")</f>
        <v>nicht durchgeführt</v>
      </c>
      <c r="E19" s="254" t="str">
        <f ca="1">IF(AuswDipl0[[#This Row],[Sprint000]]=Stammdaten!$AY$27,AuswDipl0[[#This Row],[Sprint000]],"")</f>
        <v>nicht durchgeführt</v>
      </c>
      <c r="F19" s="254" t="str">
        <f ca="1">IF(VLOOKUP(AuswDipl0[[#This Row],[Nummer]],_Diplom,F$6,FALSE)="",""," "&amp;VLOOKUP(AuswDipl0[[#This Row],[Nummer]],_Diplom,F$6,FALSE))</f>
        <v/>
      </c>
      <c r="G19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19" s="254" t="str">
        <f ca="1">IF(VLOOKUP(AuswDipl0[[#This Row],[Nummer]],_Diplom,H$6,FALSE)&lt;&gt;"","("&amp;VLOOKUP(AuswDipl0[[#This Row],[Nummer]],_Diplom,H$6,FALSE)&amp;")","")</f>
        <v/>
      </c>
      <c r="I19" s="254" t="str">
        <f ca="1">VLOOKUP(AuswDipl0[[#This Row],[Nummer]],_Diplom,I$6,FALSE)</f>
        <v>Ausdauerdisziplinen nicht durchgeführt</v>
      </c>
      <c r="J19" s="254" t="str">
        <f ca="1">IFERROR(VLOOKUP(AuswDipl0[[#This Row],[Ausdauer0]],INDIRECT($A$2),1,0),$I$4)</f>
        <v>Ausdauerdisziplinen</v>
      </c>
      <c r="K19" s="254" t="str">
        <f ca="1">IF(AuswDipl0[[#This Row],[Ausdauer00]]=$I$4,MID(AuswDipl0[[#This Row],[Ausdauer0]],FIND(" ",AuswDipl0[[#This Row],[Ausdauer0]],1)+1,LEN(AuswDipl0[[#This Row],[Ausdauer0]])),"")</f>
        <v>nicht durchgeführt</v>
      </c>
      <c r="L19" s="254" t="str">
        <f ca="1">IF(AuswDipl0[[#This Row],[Ausdauer000]]=Stammdaten!$AY$27,AuswDipl0[[#This Row],[Ausdauer000]],"")</f>
        <v>nicht durchgeführt</v>
      </c>
      <c r="M19" s="254" t="str">
        <f ca="1">IF(VLOOKUP(AuswDipl0[[#This Row],[Nummer]],_Diplom,M$6,FALSE)="",""," "&amp;VLOOKUP(AuswDipl0[[#This Row],[Nummer]],_Diplom,M$6,FALSE))</f>
        <v/>
      </c>
      <c r="N19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19" s="254" t="str">
        <f ca="1">IF(VLOOKUP(AuswDipl0[[#This Row],[Nummer]],_Diplom,O$6,FALSE)&lt;&gt;"","("&amp;VLOOKUP(AuswDipl0[[#This Row],[Nummer]],_Diplom,O$6,FALSE)&amp;")","")</f>
        <v/>
      </c>
      <c r="P19" s="254" t="str">
        <f ca="1">VLOOKUP(AuswDipl0[[#This Row],[Nummer]],_Diplom,P$6,FALSE)</f>
        <v>Sprungdisziplinen nicht durchgeführt</v>
      </c>
      <c r="Q19" s="254" t="str">
        <f ca="1">IFERROR(VLOOKUP(AuswDipl0[[#This Row],[Sprung0]],INDIRECT($A$2),1,0),$P$4)</f>
        <v>Sprungdisziplinen</v>
      </c>
      <c r="R19" s="254" t="str">
        <f ca="1">IF(AuswDipl0[[#This Row],[Sprung00]]=$P$4,MID(AuswDipl0[[#This Row],[Sprung0]],FIND(" ",AuswDipl0[[#This Row],[Sprung0]],1)+1,LEN(AuswDipl0[[#This Row],[Sprung0]])),"")</f>
        <v>nicht durchgeführt</v>
      </c>
      <c r="S19" s="254" t="str">
        <f ca="1">IF(AuswDipl0[[#This Row],[Sprung000]]=Stammdaten!$AY$27,AuswDipl0[[#This Row],[Sprung000]],"")</f>
        <v>nicht durchgeführt</v>
      </c>
      <c r="T19" s="254" t="str">
        <f ca="1">IF(VLOOKUP(AuswDipl0[[#This Row],[Nummer]],_Diplom,T$6,FALSE)="",""," "&amp;VLOOKUP(AuswDipl0[[#This Row],[Nummer]],_Diplom,T$6,FALSE))</f>
        <v/>
      </c>
      <c r="U19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19" s="254" t="str">
        <f ca="1">IF(VLOOKUP(AuswDipl0[[#This Row],[Nummer]],_Diplom,V$6,FALSE)&lt;&gt;"","("&amp;VLOOKUP(AuswDipl0[[#This Row],[Nummer]],_Diplom,V$6,FALSE)&amp;")","")</f>
        <v/>
      </c>
      <c r="W19" s="254" t="str">
        <f ca="1">VLOOKUP(AuswDipl0[[#This Row],[Nummer]],_Diplom,W$6,FALSE)</f>
        <v>Wurfdisziplinen nicht durchgeführt</v>
      </c>
      <c r="X19" s="254" t="str">
        <f ca="1">IFERROR(VLOOKUP(AuswDipl0[[#This Row],[Wurf0]],INDIRECT($A$2),1,0),$W$4)</f>
        <v>Wurfdisziplinen</v>
      </c>
      <c r="Y19" s="254" t="str">
        <f ca="1">IF(AuswDipl0[[#This Row],[Wurf00]]=$W$4,MID(AuswDipl0[[#This Row],[Wurf0]],FIND(" ",AuswDipl0[[#This Row],[Wurf0]],1)+1,LEN(AuswDipl0[[#This Row],[Wurf0]])),"")</f>
        <v>nicht durchgeführt</v>
      </c>
      <c r="Z19" s="254" t="str">
        <f ca="1">IF(AuswDipl0[[#This Row],[Wurf000]]=Stammdaten!$AY$27,AuswDipl0[[#This Row],[Wurf000]],"")</f>
        <v>nicht durchgeführt</v>
      </c>
      <c r="AA19" s="254" t="str">
        <f ca="1">IF(VLOOKUP(AuswDipl0[[#This Row],[Nummer]],_Diplom,AA$6,FALSE)="",""," "&amp;VLOOKUP(AuswDipl0[[#This Row],[Nummer]],_Diplom,AA$6,FALSE))</f>
        <v/>
      </c>
      <c r="AB19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19" s="254" t="str">
        <f ca="1">IF(VLOOKUP(AuswDipl0[[#This Row],[Nummer]],_Diplom,AC$6,FALSE)&lt;&gt;"","("&amp;VLOOKUP(AuswDipl0[[#This Row],[Nummer]],_Diplom,AC$6,FALSE)&amp;")","")</f>
        <v/>
      </c>
      <c r="AD19" s="254" t="str">
        <f ca="1">IF(AuswDipl0[[#This Row],[ErGe_Höchst]]&lt;&gt;"",VLOOKUP(AuswDipl0[[#This Row],[Nummer]],_Diplom,$AD$6,FALSE),VLOOKUP(AuswDipl0[[#This Row],[Nummer]],_Diplom,$AD$6,FALSE))</f>
        <v>Erstes Gerät</v>
      </c>
      <c r="AE19" s="254" t="str">
        <f ca="1">VLOOKUP(AuswDipl0[[#This Row],[Nummer]],_Diplom,$AE$6,FALSE)</f>
        <v>nicht durchgeführt</v>
      </c>
      <c r="AF19" s="254" t="str">
        <f ca="1">IF(AuswDipl0[[#This Row],[ErGe_Höchst]]&lt;&gt;"",AuswDipl0[[#This Row],[ErGe_Höchst]],AuswDipl0[[#This Row],[ErGe_Txt2]])</f>
        <v>nicht durchgeführt</v>
      </c>
      <c r="AG19" s="254" t="str">
        <f ca="1">VLOOKUP(AuswDipl0[[#This Row],[Nummer]],_Diplom,$AG$6,FALSE)</f>
        <v/>
      </c>
      <c r="AH19" s="254" t="str">
        <f>VLOOKUP(AuswDipl0[[#This Row],[Nummer]],_Diplom,$AH$6,FALSE)</f>
        <v/>
      </c>
      <c r="AI19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19" s="254" t="str">
        <f ca="1">VLOOKUP(AuswDipl0[[#This Row],[Nummer]],_Diplom,$AJ$6,FALSE)</f>
        <v/>
      </c>
      <c r="AK19" s="254" t="str">
        <f ca="1">IF(AuswDipl0[[#This Row],[ZwGe_Höchst]]&lt;&gt;"",VLOOKUP(AuswDipl0[[#This Row],[Nummer]],_Diplom,$AK$6,FALSE),VLOOKUP(AuswDipl0[[#This Row],[Nummer]],_Diplom,$AK$6,FALSE))</f>
        <v>Zweites Gerät</v>
      </c>
      <c r="AL19" s="254" t="str">
        <f ca="1">VLOOKUP(AuswDipl0[[#This Row],[Nummer]],_Diplom,$AL$6,FALSE)</f>
        <v>nicht durchgeführt</v>
      </c>
      <c r="AM19" s="254" t="str">
        <f ca="1">IF(AuswDipl0[[#This Row],[ZwGe_Höchst]]&lt;&gt;"",AuswDipl0[[#This Row],[ZwGe_Höchst]],AuswDipl0[[#This Row],[ZwGe_Txt2]])</f>
        <v>nicht durchgeführt</v>
      </c>
      <c r="AN19" s="254" t="str">
        <f ca="1">VLOOKUP(AuswDipl0[[#This Row],[Nummer]],_Diplom,$AN$6,FALSE)</f>
        <v/>
      </c>
      <c r="AO19" s="254" t="str">
        <f>VLOOKUP(AuswDipl0[[#This Row],[Nummer]],_Diplom,$AO$6,FALSE)</f>
        <v/>
      </c>
      <c r="AP19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19" s="254" t="str">
        <f ca="1">VLOOKUP(AuswDipl0[[#This Row],[Nummer]],_Diplom,$AQ$6,FALSE)</f>
        <v/>
      </c>
      <c r="AR19" s="254" t="str">
        <f ca="1">IF(AuswDipl0[[#This Row],[DrGe_Höchst]]&lt;&gt;"",VLOOKUP(AuswDipl0[[#This Row],[Nummer]],_Diplom,$AR$6,FALSE),VLOOKUP(AuswDipl0[[#This Row],[Nummer]],_Diplom,$AR$6,FALSE))</f>
        <v>Drittes Gerät</v>
      </c>
      <c r="AS19" s="254" t="str">
        <f ca="1">VLOOKUP(AuswDipl0[[#This Row],[Nummer]],_Diplom,$AS$6,FALSE)</f>
        <v>nicht durchgeführt</v>
      </c>
      <c r="AT19" s="254" t="str">
        <f ca="1">IF(AuswDipl0[[#This Row],[DrGe_Höchst]]&lt;&gt;"",AuswDipl0[[#This Row],[DrGe_Höchst]],AuswDipl0[[#This Row],[DrGe_Txt2]])</f>
        <v>nicht durchgeführt</v>
      </c>
      <c r="AU19" s="254" t="str">
        <f ca="1">VLOOKUP(AuswDipl0[[#This Row],[Nummer]],_Diplom,$AU$6,FALSE)</f>
        <v/>
      </c>
      <c r="AV19" s="254" t="str">
        <f>VLOOKUP(AuswDipl0[[#This Row],[Nummer]],_Diplom,$AV$6,FALSE)</f>
        <v/>
      </c>
      <c r="AW19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19" s="254" t="str">
        <f ca="1">VLOOKUP(AuswDipl0[[#This Row],[Nummer]],_Diplom,$AX$6,FALSE)</f>
        <v/>
      </c>
      <c r="AY19" s="254" t="str">
        <f t="shared" si="0"/>
        <v>Parkour</v>
      </c>
      <c r="AZ19" s="254">
        <f ca="1">INDEX(INDIRECT($AZ$2),AuswDipl0[[#This Row],[Nummer]])</f>
        <v>0</v>
      </c>
      <c r="BA19" s="254" t="str">
        <f ca="1">IFERROR(IF(AuswDipl0[[#This Row],[ParkourPkte0]]&gt;0," "&amp;INDEX(INDIRECT($BA$2),MATCH($AY$1,INDIRECT($A$2),0)),""),"")</f>
        <v/>
      </c>
      <c r="BB19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19" s="254" t="str">
        <f ca="1">IF(AuswDipl0[[#This Row],[ParkourMax]]&lt;&gt;"",AuswDipl0[[#This Row],[ParkourMax]],Stammdaten!$AY$27)</f>
        <v>nicht durchgeführt</v>
      </c>
      <c r="BD19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19" s="254" t="str">
        <f ca="1">IF(AuswDipl0[[#This Row],[ParkourPkte1]]="","",VLOOKUP(AuswDipl0[[#This Row],[Nummer]],_Diplom,BE$6,FALSE))</f>
        <v/>
      </c>
      <c r="BF19" s="254" t="str">
        <f ca="1">VLOOKUP(AuswDipl0[[#This Row],[Nummer]],_Diplom,BF$6,FALSE)</f>
        <v>Darstellen und Tanzen</v>
      </c>
      <c r="BG19" s="254" t="str">
        <f ca="1">VLOOKUP(AuswDipl0[[#This Row],[Nummer]],_Diplom,BG$6,FALSE)</f>
        <v>nicht durchgeführt</v>
      </c>
      <c r="BH19" s="254" t="str">
        <f ca="1">IF(AuswDipl0[[#This Row],[BS_3_Max]]&lt;&gt;"",AuswDipl0[[#This Row],[BS_3_Max]],AuswDipl0[[#This Row],[BS_3_Txt1]])</f>
        <v>nicht durchgeführt</v>
      </c>
      <c r="BI19" s="254" t="str">
        <f ca="1">IF(VLOOKUP(AuswDipl0[[#This Row],[Nummer]],_Diplom,BI$6,FALSE)="","",VLOOKUP(AuswDipl0[[#This Row],[Nummer]],_Diplom,BI$6,FALSE))</f>
        <v/>
      </c>
      <c r="BJ19" s="254" t="str">
        <f ca="1">IF(AuswDipl0[[#This Row],[BS_3_Txt1]]=Stammdaten!$AX$19,AuswDipl0[[#This Row],[BS_3_Txt1]],AuswDipl0[[#This Row],[BS_3_Pkte0]]&amp;AuswDipl0[[#This Row],[BS_3_Mass]])</f>
        <v/>
      </c>
      <c r="BK19" s="254" t="str">
        <f ca="1">IFERROR(" "&amp;INDEX(INDIRECT($BK$2),MATCH(AuswDipl0[[#This Row],[BS_3_Txt0]],INDIRECT($A$2),0)),"")</f>
        <v/>
      </c>
      <c r="BL19" s="254" t="str">
        <f ca="1">VLOOKUP(AuswDipl0[[#This Row],[Nummer]],_Diplom,BL$6,FALSE)</f>
        <v/>
      </c>
      <c r="BM19" s="254" t="str">
        <f ca="1">IF(AuswDipl0[[#This Row],[ErSp_Höchst]]&lt;&gt;"",VLOOKUP(AuswDipl0[[#This Row],[Nummer]],_Diplom,$BM$6,FALSE),VLOOKUP(AuswDipl0[[#This Row],[Nummer]],_Diplom,$BM$6,FALSE))</f>
        <v>Erste Spielsportart</v>
      </c>
      <c r="BN19" s="254" t="str">
        <f ca="1">VLOOKUP(AuswDipl0[[#This Row],[Nummer]],_Diplom,$BN$6,FALSE)</f>
        <v>nicht durchgeführt</v>
      </c>
      <c r="BO19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19" s="254" t="str">
        <f ca="1">VLOOKUP(AuswDipl0[[#This Row],[Nummer]],_Diplom,$BP$6,FALSE)</f>
        <v/>
      </c>
      <c r="BQ19" s="254" t="str">
        <f ca="1">VLOOKUP(AuswDipl0[[#This Row],[Nummer]],_Diplom,$BQ$6,FALSE)</f>
        <v/>
      </c>
      <c r="BR19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19" s="254" t="str">
        <f ca="1">VLOOKUP(AuswDipl0[[#This Row],[Nummer]],_Diplom,$BS$6,FALSE)</f>
        <v/>
      </c>
      <c r="BT19" s="254" t="str">
        <f ca="1">VLOOKUP(AuswDipl0[[#This Row],[Nummer]],_Diplom,$BT$6,FALSE)</f>
        <v/>
      </c>
      <c r="BU19" s="254" t="str">
        <f ca="1">IF(AuswDipl0[[#This Row],[ZwSp_Höchst]]&lt;&gt;"",VLOOKUP(AuswDipl0[[#This Row],[Nummer]],_Diplom,$BU$6,FALSE),VLOOKUP(AuswDipl0[[#This Row],[Nummer]],_Diplom,$BU$6,FALSE))</f>
        <v>Zweite Spielsportart</v>
      </c>
      <c r="BV19" s="254" t="str">
        <f ca="1">VLOOKUP(AuswDipl0[[#This Row],[Nummer]],_Diplom,$BV$6,FALSE)</f>
        <v>nicht durchgeführt</v>
      </c>
      <c r="BW19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19" s="254" t="str">
        <f ca="1">VLOOKUP(AuswDipl0[[#This Row],[Nummer]],_Diplom,$BX$6,FALSE)</f>
        <v/>
      </c>
      <c r="BY19" s="254" t="str">
        <f ca="1">VLOOKUP(AuswDipl0[[#This Row],[Nummer]],_Diplom,$BY$6,FALSE)</f>
        <v/>
      </c>
      <c r="BZ19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19" s="254" t="str">
        <f ca="1">VLOOKUP(AuswDipl0[[#This Row],[Nummer]],_Diplom,$CA$6,FALSE)</f>
        <v/>
      </c>
      <c r="CB19" s="254" t="str">
        <f ca="1">VLOOKUP(AuswDipl0[[#This Row],[Nummer]],_Diplom,$CB$6,FALSE)</f>
        <v/>
      </c>
      <c r="CC19" s="254" t="str">
        <f ca="1">IF(AuswDipl0[[#This Row],[DrSp_Höchst]]&lt;&gt;"",VLOOKUP(AuswDipl0[[#This Row],[Nummer]],_Diplom,$CC$6,FALSE),VLOOKUP(AuswDipl0[[#This Row],[Nummer]],_Diplom,$CC$6,FALSE))</f>
        <v>Dritte Spielsportart</v>
      </c>
      <c r="CD19" s="254" t="str">
        <f ca="1">VLOOKUP(AuswDipl0[[#This Row],[Nummer]],_Diplom,$CD$6,FALSE)</f>
        <v>nicht durchgeführt</v>
      </c>
      <c r="CE19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19" s="254" t="str">
        <f ca="1">VLOOKUP(AuswDipl0[[#This Row],[Nummer]],_Diplom,$CF$6,FALSE)</f>
        <v/>
      </c>
      <c r="CG19" s="254" t="str">
        <f ca="1">VLOOKUP(AuswDipl0[[#This Row],[Nummer]],_Diplom,$CG$6,FALSE)</f>
        <v/>
      </c>
      <c r="CH19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19" s="254" t="str">
        <f ca="1">VLOOKUP(AuswDipl0[[#This Row],[Nummer]],_Diplom,$CI$6,FALSE)</f>
        <v/>
      </c>
      <c r="CJ19" s="254" t="str">
        <f ca="1">VLOOKUP(AuswDipl0[[#This Row],[Nummer]],_Diplom,$CJ$6,FALSE)</f>
        <v/>
      </c>
      <c r="CK19" s="254" t="str">
        <f ca="1">VLOOKUP(AuswDipl0[[#This Row],[Nummer]],_Diplom,CK$6,FALSE)</f>
        <v>Zu wenige Noten</v>
      </c>
      <c r="CL19" s="254">
        <f ca="1">VLOOKUP(AuswDipl0[[#This Row],[Nummer]],_Diplom,CL$6,FALSE)</f>
        <v>0</v>
      </c>
      <c r="CM19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19" s="254">
        <f ca="1">IFERROR(INDEX(INDIRECT($CN$4),MATCH(AuswDipl0[[#This Row],[BS_1_Med]],INDIRECT($CN$3),0)),6)</f>
        <v>6</v>
      </c>
      <c r="CO19" s="254" t="str">
        <f ca="1">VLOOKUP(AuswDipl0[[#This Row],[Nummer]],_Diplom,CO$6,FALSE)</f>
        <v>Zu wenige Noten</v>
      </c>
      <c r="CP19" s="254">
        <f>VLOOKUP(AuswDipl0[[#This Row],[Nummer]],_Diplom,CP$6,FALSE)</f>
        <v>0</v>
      </c>
      <c r="CQ19" s="254">
        <f ca="1">VLOOKUP(AuswDipl0[[#This Row],[Nummer]],_Diplom,CQ$6,FALSE)</f>
        <v>0</v>
      </c>
      <c r="CR19" s="254">
        <f ca="1">IF(AND(AuswDipl0[[#This Row],[BS_2_AnzGer]]&gt;=$CP$2,AND(ISNUMBER(AuswDipl0[[#This Row],[BS_2_Park]]),AuswDipl0[[#This Row],[BS_2_Park]]&gt;0)),1,0)</f>
        <v>0</v>
      </c>
      <c r="CS19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19" s="254">
        <f ca="1">IFERROR(INDEX(INDIRECT($CT$4),MATCH(AuswDipl0[[#This Row],[BS_2_Med]],INDIRECT($CT$3),0)),6)</f>
        <v>6</v>
      </c>
      <c r="CU19" s="254" t="str">
        <f ca="1">VLOOKUP(AuswDipl0[[#This Row],[Nummer]],_Diplom,CU$6,FALSE)</f>
        <v>Zu wenige Noten</v>
      </c>
      <c r="CV19" s="254">
        <f ca="1">IF(AuswDipl0[[#This Row],[BS_3_Erg]]=INDEX(StdFehler[StdFehler],4),0,IF(AuswDipl0[[#This Row],[BS_3_Erg]]=Stammdaten!$AX$19,Stammdaten!$AX$19,VALUE(AuswDipl0[[#This Row],[BS_3_Erg]])))</f>
        <v>0</v>
      </c>
      <c r="CW19" s="254" t="str">
        <f ca="1">IF(AuswDipl0[[#This Row],[BS_3_x]]=0,"",INDEX(INDIRECT(CW$4),MATCH(AuswDipl0[[#This Row],[BS_3_x]],INDIRECT(CW$3),0)))</f>
        <v/>
      </c>
      <c r="CX19" s="254">
        <f ca="1">IFERROR(INDEX(INDIRECT($CX$4),MATCH(AuswDipl0[[#This Row],[BS_3_Med]],INDIRECT($CX$3),0)),6)</f>
        <v>6</v>
      </c>
      <c r="CY19" s="254" t="str">
        <f ca="1">VLOOKUP(AuswDipl0[[#This Row],[Nummer]],_Diplom,CY$6,FALSE)</f>
        <v>Zu wenige Noten</v>
      </c>
      <c r="CZ19" s="254">
        <f ca="1">VLOOKUP(AuswDipl0[[#This Row],[Nummer]],_Diplom,CZ$6,FALSE)</f>
        <v>0</v>
      </c>
      <c r="DA19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19" s="254">
        <f ca="1">IFERROR(INDEX(INDIRECT($DB$4),MATCH(AuswDipl0[[#This Row],[BS_4_Med]],INDIRECT($DB$3),0)),6)</f>
        <v>6</v>
      </c>
    </row>
    <row r="20" spans="1:106" ht="12" customHeight="1" x14ac:dyDescent="0.25">
      <c r="A20" s="254">
        <v>14</v>
      </c>
      <c r="B20" s="254" t="str">
        <f ca="1">VLOOKUP(AuswDipl0[[#This Row],[Nummer]],_Diplom,B$6,FALSE)</f>
        <v>Sprintdisziplinen nicht durchgeführt</v>
      </c>
      <c r="C20" s="254" t="str">
        <f ca="1">IFERROR(VLOOKUP(AuswDipl0[[#This Row],[Sprint0]],INDIRECT($A$2),1,0),$B$4)</f>
        <v>Sprintdisziplinen</v>
      </c>
      <c r="D20" s="254" t="str">
        <f ca="1">IF(AuswDipl0[[#This Row],[Sprint00]]=$B$4,MID(AuswDipl0[[#This Row],[Sprint0]],FIND(" ",AuswDipl0[[#This Row],[Sprint0]],1)+1,LEN(AuswDipl0[[#This Row],[Sprint0]])),"")</f>
        <v>nicht durchgeführt</v>
      </c>
      <c r="E20" s="254" t="str">
        <f ca="1">IF(AuswDipl0[[#This Row],[Sprint000]]=Stammdaten!$AY$27,AuswDipl0[[#This Row],[Sprint000]],"")</f>
        <v>nicht durchgeführt</v>
      </c>
      <c r="F20" s="254" t="str">
        <f ca="1">IF(VLOOKUP(AuswDipl0[[#This Row],[Nummer]],_Diplom,F$6,FALSE)="",""," "&amp;VLOOKUP(AuswDipl0[[#This Row],[Nummer]],_Diplom,F$6,FALSE))</f>
        <v/>
      </c>
      <c r="G20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0" s="254" t="str">
        <f ca="1">IF(VLOOKUP(AuswDipl0[[#This Row],[Nummer]],_Diplom,H$6,FALSE)&lt;&gt;"","("&amp;VLOOKUP(AuswDipl0[[#This Row],[Nummer]],_Diplom,H$6,FALSE)&amp;")","")</f>
        <v/>
      </c>
      <c r="I20" s="254" t="str">
        <f ca="1">VLOOKUP(AuswDipl0[[#This Row],[Nummer]],_Diplom,I$6,FALSE)</f>
        <v>Ausdauerdisziplinen nicht durchgeführt</v>
      </c>
      <c r="J20" s="254" t="str">
        <f ca="1">IFERROR(VLOOKUP(AuswDipl0[[#This Row],[Ausdauer0]],INDIRECT($A$2),1,0),$I$4)</f>
        <v>Ausdauerdisziplinen</v>
      </c>
      <c r="K20" s="254" t="str">
        <f ca="1">IF(AuswDipl0[[#This Row],[Ausdauer00]]=$I$4,MID(AuswDipl0[[#This Row],[Ausdauer0]],FIND(" ",AuswDipl0[[#This Row],[Ausdauer0]],1)+1,LEN(AuswDipl0[[#This Row],[Ausdauer0]])),"")</f>
        <v>nicht durchgeführt</v>
      </c>
      <c r="L20" s="254" t="str">
        <f ca="1">IF(AuswDipl0[[#This Row],[Ausdauer000]]=Stammdaten!$AY$27,AuswDipl0[[#This Row],[Ausdauer000]],"")</f>
        <v>nicht durchgeführt</v>
      </c>
      <c r="M20" s="254" t="str">
        <f ca="1">IF(VLOOKUP(AuswDipl0[[#This Row],[Nummer]],_Diplom,M$6,FALSE)="",""," "&amp;VLOOKUP(AuswDipl0[[#This Row],[Nummer]],_Diplom,M$6,FALSE))</f>
        <v/>
      </c>
      <c r="N20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0" s="254" t="str">
        <f ca="1">IF(VLOOKUP(AuswDipl0[[#This Row],[Nummer]],_Diplom,O$6,FALSE)&lt;&gt;"","("&amp;VLOOKUP(AuswDipl0[[#This Row],[Nummer]],_Diplom,O$6,FALSE)&amp;")","")</f>
        <v/>
      </c>
      <c r="P20" s="254" t="str">
        <f ca="1">VLOOKUP(AuswDipl0[[#This Row],[Nummer]],_Diplom,P$6,FALSE)</f>
        <v>Sprungdisziplinen nicht durchgeführt</v>
      </c>
      <c r="Q20" s="254" t="str">
        <f ca="1">IFERROR(VLOOKUP(AuswDipl0[[#This Row],[Sprung0]],INDIRECT($A$2),1,0),$P$4)</f>
        <v>Sprungdisziplinen</v>
      </c>
      <c r="R20" s="254" t="str">
        <f ca="1">IF(AuswDipl0[[#This Row],[Sprung00]]=$P$4,MID(AuswDipl0[[#This Row],[Sprung0]],FIND(" ",AuswDipl0[[#This Row],[Sprung0]],1)+1,LEN(AuswDipl0[[#This Row],[Sprung0]])),"")</f>
        <v>nicht durchgeführt</v>
      </c>
      <c r="S20" s="254" t="str">
        <f ca="1">IF(AuswDipl0[[#This Row],[Sprung000]]=Stammdaten!$AY$27,AuswDipl0[[#This Row],[Sprung000]],"")</f>
        <v>nicht durchgeführt</v>
      </c>
      <c r="T20" s="254" t="str">
        <f ca="1">IF(VLOOKUP(AuswDipl0[[#This Row],[Nummer]],_Diplom,T$6,FALSE)="",""," "&amp;VLOOKUP(AuswDipl0[[#This Row],[Nummer]],_Diplom,T$6,FALSE))</f>
        <v/>
      </c>
      <c r="U20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0" s="254" t="str">
        <f ca="1">IF(VLOOKUP(AuswDipl0[[#This Row],[Nummer]],_Diplom,V$6,FALSE)&lt;&gt;"","("&amp;VLOOKUP(AuswDipl0[[#This Row],[Nummer]],_Diplom,V$6,FALSE)&amp;")","")</f>
        <v/>
      </c>
      <c r="W20" s="254" t="str">
        <f ca="1">VLOOKUP(AuswDipl0[[#This Row],[Nummer]],_Diplom,W$6,FALSE)</f>
        <v>Wurfdisziplinen nicht durchgeführt</v>
      </c>
      <c r="X20" s="254" t="str">
        <f ca="1">IFERROR(VLOOKUP(AuswDipl0[[#This Row],[Wurf0]],INDIRECT($A$2),1,0),$W$4)</f>
        <v>Wurfdisziplinen</v>
      </c>
      <c r="Y20" s="254" t="str">
        <f ca="1">IF(AuswDipl0[[#This Row],[Wurf00]]=$W$4,MID(AuswDipl0[[#This Row],[Wurf0]],FIND(" ",AuswDipl0[[#This Row],[Wurf0]],1)+1,LEN(AuswDipl0[[#This Row],[Wurf0]])),"")</f>
        <v>nicht durchgeführt</v>
      </c>
      <c r="Z20" s="254" t="str">
        <f ca="1">IF(AuswDipl0[[#This Row],[Wurf000]]=Stammdaten!$AY$27,AuswDipl0[[#This Row],[Wurf000]],"")</f>
        <v>nicht durchgeführt</v>
      </c>
      <c r="AA20" s="254" t="str">
        <f ca="1">IF(VLOOKUP(AuswDipl0[[#This Row],[Nummer]],_Diplom,AA$6,FALSE)="",""," "&amp;VLOOKUP(AuswDipl0[[#This Row],[Nummer]],_Diplom,AA$6,FALSE))</f>
        <v/>
      </c>
      <c r="AB20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0" s="254" t="str">
        <f ca="1">IF(VLOOKUP(AuswDipl0[[#This Row],[Nummer]],_Diplom,AC$6,FALSE)&lt;&gt;"","("&amp;VLOOKUP(AuswDipl0[[#This Row],[Nummer]],_Diplom,AC$6,FALSE)&amp;")","")</f>
        <v/>
      </c>
      <c r="AD20" s="254" t="str">
        <f ca="1">IF(AuswDipl0[[#This Row],[ErGe_Höchst]]&lt;&gt;"",VLOOKUP(AuswDipl0[[#This Row],[Nummer]],_Diplom,$AD$6,FALSE),VLOOKUP(AuswDipl0[[#This Row],[Nummer]],_Diplom,$AD$6,FALSE))</f>
        <v>Erstes Gerät</v>
      </c>
      <c r="AE20" s="254" t="str">
        <f ca="1">VLOOKUP(AuswDipl0[[#This Row],[Nummer]],_Diplom,$AE$6,FALSE)</f>
        <v>nicht durchgeführt</v>
      </c>
      <c r="AF20" s="254" t="str">
        <f ca="1">IF(AuswDipl0[[#This Row],[ErGe_Höchst]]&lt;&gt;"",AuswDipl0[[#This Row],[ErGe_Höchst]],AuswDipl0[[#This Row],[ErGe_Txt2]])</f>
        <v>nicht durchgeführt</v>
      </c>
      <c r="AG20" s="254" t="str">
        <f ca="1">VLOOKUP(AuswDipl0[[#This Row],[Nummer]],_Diplom,$AG$6,FALSE)</f>
        <v/>
      </c>
      <c r="AH20" s="254" t="str">
        <f>VLOOKUP(AuswDipl0[[#This Row],[Nummer]],_Diplom,$AH$6,FALSE)</f>
        <v/>
      </c>
      <c r="AI20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0" s="254" t="str">
        <f ca="1">VLOOKUP(AuswDipl0[[#This Row],[Nummer]],_Diplom,$AJ$6,FALSE)</f>
        <v/>
      </c>
      <c r="AK20" s="254" t="str">
        <f ca="1">IF(AuswDipl0[[#This Row],[ZwGe_Höchst]]&lt;&gt;"",VLOOKUP(AuswDipl0[[#This Row],[Nummer]],_Diplom,$AK$6,FALSE),VLOOKUP(AuswDipl0[[#This Row],[Nummer]],_Diplom,$AK$6,FALSE))</f>
        <v>Zweites Gerät</v>
      </c>
      <c r="AL20" s="254" t="str">
        <f ca="1">VLOOKUP(AuswDipl0[[#This Row],[Nummer]],_Diplom,$AL$6,FALSE)</f>
        <v>nicht durchgeführt</v>
      </c>
      <c r="AM20" s="254" t="str">
        <f ca="1">IF(AuswDipl0[[#This Row],[ZwGe_Höchst]]&lt;&gt;"",AuswDipl0[[#This Row],[ZwGe_Höchst]],AuswDipl0[[#This Row],[ZwGe_Txt2]])</f>
        <v>nicht durchgeführt</v>
      </c>
      <c r="AN20" s="254" t="str">
        <f ca="1">VLOOKUP(AuswDipl0[[#This Row],[Nummer]],_Diplom,$AN$6,FALSE)</f>
        <v/>
      </c>
      <c r="AO20" s="254" t="str">
        <f>VLOOKUP(AuswDipl0[[#This Row],[Nummer]],_Diplom,$AO$6,FALSE)</f>
        <v/>
      </c>
      <c r="AP20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0" s="254" t="str">
        <f ca="1">VLOOKUP(AuswDipl0[[#This Row],[Nummer]],_Diplom,$AQ$6,FALSE)</f>
        <v/>
      </c>
      <c r="AR20" s="254" t="str">
        <f ca="1">IF(AuswDipl0[[#This Row],[DrGe_Höchst]]&lt;&gt;"",VLOOKUP(AuswDipl0[[#This Row],[Nummer]],_Diplom,$AR$6,FALSE),VLOOKUP(AuswDipl0[[#This Row],[Nummer]],_Diplom,$AR$6,FALSE))</f>
        <v>Drittes Gerät</v>
      </c>
      <c r="AS20" s="254" t="str">
        <f ca="1">VLOOKUP(AuswDipl0[[#This Row],[Nummer]],_Diplom,$AS$6,FALSE)</f>
        <v>nicht durchgeführt</v>
      </c>
      <c r="AT20" s="254" t="str">
        <f ca="1">IF(AuswDipl0[[#This Row],[DrGe_Höchst]]&lt;&gt;"",AuswDipl0[[#This Row],[DrGe_Höchst]],AuswDipl0[[#This Row],[DrGe_Txt2]])</f>
        <v>nicht durchgeführt</v>
      </c>
      <c r="AU20" s="254" t="str">
        <f ca="1">VLOOKUP(AuswDipl0[[#This Row],[Nummer]],_Diplom,$AU$6,FALSE)</f>
        <v/>
      </c>
      <c r="AV20" s="254" t="str">
        <f>VLOOKUP(AuswDipl0[[#This Row],[Nummer]],_Diplom,$AV$6,FALSE)</f>
        <v/>
      </c>
      <c r="AW20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0" s="254" t="str">
        <f ca="1">VLOOKUP(AuswDipl0[[#This Row],[Nummer]],_Diplom,$AX$6,FALSE)</f>
        <v/>
      </c>
      <c r="AY20" s="254" t="str">
        <f t="shared" si="0"/>
        <v>Parkour</v>
      </c>
      <c r="AZ20" s="254">
        <f ca="1">INDEX(INDIRECT($AZ$2),AuswDipl0[[#This Row],[Nummer]])</f>
        <v>0</v>
      </c>
      <c r="BA20" s="254" t="str">
        <f ca="1">IFERROR(IF(AuswDipl0[[#This Row],[ParkourPkte0]]&gt;0," "&amp;INDEX(INDIRECT($BA$2),MATCH($AY$1,INDIRECT($A$2),0)),""),"")</f>
        <v/>
      </c>
      <c r="BB20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0" s="254" t="str">
        <f ca="1">IF(AuswDipl0[[#This Row],[ParkourMax]]&lt;&gt;"",AuswDipl0[[#This Row],[ParkourMax]],Stammdaten!$AY$27)</f>
        <v>nicht durchgeführt</v>
      </c>
      <c r="BD20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0" s="254" t="str">
        <f ca="1">IF(AuswDipl0[[#This Row],[ParkourPkte1]]="","",VLOOKUP(AuswDipl0[[#This Row],[Nummer]],_Diplom,BE$6,FALSE))</f>
        <v/>
      </c>
      <c r="BF20" s="254" t="str">
        <f ca="1">VLOOKUP(AuswDipl0[[#This Row],[Nummer]],_Diplom,BF$6,FALSE)</f>
        <v>Darstellen und Tanzen</v>
      </c>
      <c r="BG20" s="254" t="str">
        <f ca="1">VLOOKUP(AuswDipl0[[#This Row],[Nummer]],_Diplom,BG$6,FALSE)</f>
        <v>nicht durchgeführt</v>
      </c>
      <c r="BH20" s="254" t="str">
        <f ca="1">IF(AuswDipl0[[#This Row],[BS_3_Max]]&lt;&gt;"",AuswDipl0[[#This Row],[BS_3_Max]],AuswDipl0[[#This Row],[BS_3_Txt1]])</f>
        <v>nicht durchgeführt</v>
      </c>
      <c r="BI20" s="254" t="str">
        <f ca="1">IF(VLOOKUP(AuswDipl0[[#This Row],[Nummer]],_Diplom,BI$6,FALSE)="","",VLOOKUP(AuswDipl0[[#This Row],[Nummer]],_Diplom,BI$6,FALSE))</f>
        <v/>
      </c>
      <c r="BJ20" s="254" t="str">
        <f ca="1">IF(AuswDipl0[[#This Row],[BS_3_Txt1]]=Stammdaten!$AX$19,AuswDipl0[[#This Row],[BS_3_Txt1]],AuswDipl0[[#This Row],[BS_3_Pkte0]]&amp;AuswDipl0[[#This Row],[BS_3_Mass]])</f>
        <v/>
      </c>
      <c r="BK20" s="254" t="str">
        <f ca="1">IFERROR(" "&amp;INDEX(INDIRECT($BK$2),MATCH(AuswDipl0[[#This Row],[BS_3_Txt0]],INDIRECT($A$2),0)),"")</f>
        <v/>
      </c>
      <c r="BL20" s="254" t="str">
        <f ca="1">VLOOKUP(AuswDipl0[[#This Row],[Nummer]],_Diplom,BL$6,FALSE)</f>
        <v/>
      </c>
      <c r="BM20" s="254" t="str">
        <f ca="1">IF(AuswDipl0[[#This Row],[ErSp_Höchst]]&lt;&gt;"",VLOOKUP(AuswDipl0[[#This Row],[Nummer]],_Diplom,$BM$6,FALSE),VLOOKUP(AuswDipl0[[#This Row],[Nummer]],_Diplom,$BM$6,FALSE))</f>
        <v>Erste Spielsportart</v>
      </c>
      <c r="BN20" s="254" t="str">
        <f ca="1">VLOOKUP(AuswDipl0[[#This Row],[Nummer]],_Diplom,$BN$6,FALSE)</f>
        <v>nicht durchgeführt</v>
      </c>
      <c r="BO20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0" s="254" t="str">
        <f ca="1">VLOOKUP(AuswDipl0[[#This Row],[Nummer]],_Diplom,$BP$6,FALSE)</f>
        <v/>
      </c>
      <c r="BQ20" s="254" t="str">
        <f ca="1">VLOOKUP(AuswDipl0[[#This Row],[Nummer]],_Diplom,$BQ$6,FALSE)</f>
        <v/>
      </c>
      <c r="BR20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0" s="254" t="str">
        <f ca="1">VLOOKUP(AuswDipl0[[#This Row],[Nummer]],_Diplom,$BS$6,FALSE)</f>
        <v/>
      </c>
      <c r="BT20" s="254" t="str">
        <f ca="1">VLOOKUP(AuswDipl0[[#This Row],[Nummer]],_Diplom,$BT$6,FALSE)</f>
        <v/>
      </c>
      <c r="BU20" s="254" t="str">
        <f ca="1">IF(AuswDipl0[[#This Row],[ZwSp_Höchst]]&lt;&gt;"",VLOOKUP(AuswDipl0[[#This Row],[Nummer]],_Diplom,$BU$6,FALSE),VLOOKUP(AuswDipl0[[#This Row],[Nummer]],_Diplom,$BU$6,FALSE))</f>
        <v>Zweite Spielsportart</v>
      </c>
      <c r="BV20" s="254" t="str">
        <f ca="1">VLOOKUP(AuswDipl0[[#This Row],[Nummer]],_Diplom,$BV$6,FALSE)</f>
        <v>nicht durchgeführt</v>
      </c>
      <c r="BW20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0" s="254" t="str">
        <f ca="1">VLOOKUP(AuswDipl0[[#This Row],[Nummer]],_Diplom,$BX$6,FALSE)</f>
        <v/>
      </c>
      <c r="BY20" s="254" t="str">
        <f ca="1">VLOOKUP(AuswDipl0[[#This Row],[Nummer]],_Diplom,$BY$6,FALSE)</f>
        <v/>
      </c>
      <c r="BZ20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0" s="254" t="str">
        <f ca="1">VLOOKUP(AuswDipl0[[#This Row],[Nummer]],_Diplom,$CA$6,FALSE)</f>
        <v/>
      </c>
      <c r="CB20" s="254" t="str">
        <f ca="1">VLOOKUP(AuswDipl0[[#This Row],[Nummer]],_Diplom,$CB$6,FALSE)</f>
        <v/>
      </c>
      <c r="CC20" s="254" t="str">
        <f ca="1">IF(AuswDipl0[[#This Row],[DrSp_Höchst]]&lt;&gt;"",VLOOKUP(AuswDipl0[[#This Row],[Nummer]],_Diplom,$CC$6,FALSE),VLOOKUP(AuswDipl0[[#This Row],[Nummer]],_Diplom,$CC$6,FALSE))</f>
        <v>Dritte Spielsportart</v>
      </c>
      <c r="CD20" s="254" t="str">
        <f ca="1">VLOOKUP(AuswDipl0[[#This Row],[Nummer]],_Diplom,$CD$6,FALSE)</f>
        <v>nicht durchgeführt</v>
      </c>
      <c r="CE20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0" s="254" t="str">
        <f ca="1">VLOOKUP(AuswDipl0[[#This Row],[Nummer]],_Diplom,$CF$6,FALSE)</f>
        <v/>
      </c>
      <c r="CG20" s="254" t="str">
        <f ca="1">VLOOKUP(AuswDipl0[[#This Row],[Nummer]],_Diplom,$CG$6,FALSE)</f>
        <v/>
      </c>
      <c r="CH20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0" s="254" t="str">
        <f ca="1">VLOOKUP(AuswDipl0[[#This Row],[Nummer]],_Diplom,$CI$6,FALSE)</f>
        <v/>
      </c>
      <c r="CJ20" s="254" t="str">
        <f ca="1">VLOOKUP(AuswDipl0[[#This Row],[Nummer]],_Diplom,$CJ$6,FALSE)</f>
        <v/>
      </c>
      <c r="CK20" s="254" t="str">
        <f ca="1">VLOOKUP(AuswDipl0[[#This Row],[Nummer]],_Diplom,CK$6,FALSE)</f>
        <v>Zu wenige Noten</v>
      </c>
      <c r="CL20" s="254">
        <f ca="1">VLOOKUP(AuswDipl0[[#This Row],[Nummer]],_Diplom,CL$6,FALSE)</f>
        <v>0</v>
      </c>
      <c r="CM20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0" s="254">
        <f ca="1">IFERROR(INDEX(INDIRECT($CN$4),MATCH(AuswDipl0[[#This Row],[BS_1_Med]],INDIRECT($CN$3),0)),6)</f>
        <v>6</v>
      </c>
      <c r="CO20" s="254" t="str">
        <f ca="1">VLOOKUP(AuswDipl0[[#This Row],[Nummer]],_Diplom,CO$6,FALSE)</f>
        <v>Zu wenige Noten</v>
      </c>
      <c r="CP20" s="254">
        <f>VLOOKUP(AuswDipl0[[#This Row],[Nummer]],_Diplom,CP$6,FALSE)</f>
        <v>0</v>
      </c>
      <c r="CQ20" s="254">
        <f ca="1">VLOOKUP(AuswDipl0[[#This Row],[Nummer]],_Diplom,CQ$6,FALSE)</f>
        <v>0</v>
      </c>
      <c r="CR20" s="254">
        <f ca="1">IF(AND(AuswDipl0[[#This Row],[BS_2_AnzGer]]&gt;=$CP$2,AND(ISNUMBER(AuswDipl0[[#This Row],[BS_2_Park]]),AuswDipl0[[#This Row],[BS_2_Park]]&gt;0)),1,0)</f>
        <v>0</v>
      </c>
      <c r="CS20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0" s="254">
        <f ca="1">IFERROR(INDEX(INDIRECT($CT$4),MATCH(AuswDipl0[[#This Row],[BS_2_Med]],INDIRECT($CT$3),0)),6)</f>
        <v>6</v>
      </c>
      <c r="CU20" s="254" t="str">
        <f ca="1">VLOOKUP(AuswDipl0[[#This Row],[Nummer]],_Diplom,CU$6,FALSE)</f>
        <v>Zu wenige Noten</v>
      </c>
      <c r="CV20" s="254">
        <f ca="1">IF(AuswDipl0[[#This Row],[BS_3_Erg]]=INDEX(StdFehler[StdFehler],4),0,IF(AuswDipl0[[#This Row],[BS_3_Erg]]=Stammdaten!$AX$19,Stammdaten!$AX$19,VALUE(AuswDipl0[[#This Row],[BS_3_Erg]])))</f>
        <v>0</v>
      </c>
      <c r="CW20" s="254" t="str">
        <f ca="1">IF(AuswDipl0[[#This Row],[BS_3_x]]=0,"",INDEX(INDIRECT(CW$4),MATCH(AuswDipl0[[#This Row],[BS_3_x]],INDIRECT(CW$3),0)))</f>
        <v/>
      </c>
      <c r="CX20" s="254">
        <f ca="1">IFERROR(INDEX(INDIRECT($CX$4),MATCH(AuswDipl0[[#This Row],[BS_3_Med]],INDIRECT($CX$3),0)),6)</f>
        <v>6</v>
      </c>
      <c r="CY20" s="254" t="str">
        <f ca="1">VLOOKUP(AuswDipl0[[#This Row],[Nummer]],_Diplom,CY$6,FALSE)</f>
        <v>Zu wenige Noten</v>
      </c>
      <c r="CZ20" s="254">
        <f ca="1">VLOOKUP(AuswDipl0[[#This Row],[Nummer]],_Diplom,CZ$6,FALSE)</f>
        <v>0</v>
      </c>
      <c r="DA20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0" s="254">
        <f ca="1">IFERROR(INDEX(INDIRECT($DB$4),MATCH(AuswDipl0[[#This Row],[BS_4_Med]],INDIRECT($DB$3),0)),6)</f>
        <v>6</v>
      </c>
    </row>
    <row r="21" spans="1:106" ht="12" customHeight="1" x14ac:dyDescent="0.25">
      <c r="A21" s="254">
        <v>15</v>
      </c>
      <c r="B21" s="254" t="str">
        <f ca="1">VLOOKUP(AuswDipl0[[#This Row],[Nummer]],_Diplom,B$6,FALSE)</f>
        <v>Sprintdisziplinen nicht durchgeführt</v>
      </c>
      <c r="C21" s="254" t="str">
        <f ca="1">IFERROR(VLOOKUP(AuswDipl0[[#This Row],[Sprint0]],INDIRECT($A$2),1,0),$B$4)</f>
        <v>Sprintdisziplinen</v>
      </c>
      <c r="D21" s="254" t="str">
        <f ca="1">IF(AuswDipl0[[#This Row],[Sprint00]]=$B$4,MID(AuswDipl0[[#This Row],[Sprint0]],FIND(" ",AuswDipl0[[#This Row],[Sprint0]],1)+1,LEN(AuswDipl0[[#This Row],[Sprint0]])),"")</f>
        <v>nicht durchgeführt</v>
      </c>
      <c r="E21" s="254" t="str">
        <f ca="1">IF(AuswDipl0[[#This Row],[Sprint000]]=Stammdaten!$AY$27,AuswDipl0[[#This Row],[Sprint000]],"")</f>
        <v>nicht durchgeführt</v>
      </c>
      <c r="F21" s="254" t="str">
        <f ca="1">IF(VLOOKUP(AuswDipl0[[#This Row],[Nummer]],_Diplom,F$6,FALSE)="",""," "&amp;VLOOKUP(AuswDipl0[[#This Row],[Nummer]],_Diplom,F$6,FALSE))</f>
        <v/>
      </c>
      <c r="G21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1" s="254" t="str">
        <f ca="1">IF(VLOOKUP(AuswDipl0[[#This Row],[Nummer]],_Diplom,H$6,FALSE)&lt;&gt;"","("&amp;VLOOKUP(AuswDipl0[[#This Row],[Nummer]],_Diplom,H$6,FALSE)&amp;")","")</f>
        <v/>
      </c>
      <c r="I21" s="254" t="str">
        <f ca="1">VLOOKUP(AuswDipl0[[#This Row],[Nummer]],_Diplom,I$6,FALSE)</f>
        <v>Ausdauerdisziplinen nicht durchgeführt</v>
      </c>
      <c r="J21" s="254" t="str">
        <f ca="1">IFERROR(VLOOKUP(AuswDipl0[[#This Row],[Ausdauer0]],INDIRECT($A$2),1,0),$I$4)</f>
        <v>Ausdauerdisziplinen</v>
      </c>
      <c r="K21" s="254" t="str">
        <f ca="1">IF(AuswDipl0[[#This Row],[Ausdauer00]]=$I$4,MID(AuswDipl0[[#This Row],[Ausdauer0]],FIND(" ",AuswDipl0[[#This Row],[Ausdauer0]],1)+1,LEN(AuswDipl0[[#This Row],[Ausdauer0]])),"")</f>
        <v>nicht durchgeführt</v>
      </c>
      <c r="L21" s="254" t="str">
        <f ca="1">IF(AuswDipl0[[#This Row],[Ausdauer000]]=Stammdaten!$AY$27,AuswDipl0[[#This Row],[Ausdauer000]],"")</f>
        <v>nicht durchgeführt</v>
      </c>
      <c r="M21" s="254" t="str">
        <f ca="1">IF(VLOOKUP(AuswDipl0[[#This Row],[Nummer]],_Diplom,M$6,FALSE)="",""," "&amp;VLOOKUP(AuswDipl0[[#This Row],[Nummer]],_Diplom,M$6,FALSE))</f>
        <v/>
      </c>
      <c r="N21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1" s="254" t="str">
        <f ca="1">IF(VLOOKUP(AuswDipl0[[#This Row],[Nummer]],_Diplom,O$6,FALSE)&lt;&gt;"","("&amp;VLOOKUP(AuswDipl0[[#This Row],[Nummer]],_Diplom,O$6,FALSE)&amp;")","")</f>
        <v/>
      </c>
      <c r="P21" s="254" t="str">
        <f ca="1">VLOOKUP(AuswDipl0[[#This Row],[Nummer]],_Diplom,P$6,FALSE)</f>
        <v>Sprungdisziplinen nicht durchgeführt</v>
      </c>
      <c r="Q21" s="254" t="str">
        <f ca="1">IFERROR(VLOOKUP(AuswDipl0[[#This Row],[Sprung0]],INDIRECT($A$2),1,0),$P$4)</f>
        <v>Sprungdisziplinen</v>
      </c>
      <c r="R21" s="254" t="str">
        <f ca="1">IF(AuswDipl0[[#This Row],[Sprung00]]=$P$4,MID(AuswDipl0[[#This Row],[Sprung0]],FIND(" ",AuswDipl0[[#This Row],[Sprung0]],1)+1,LEN(AuswDipl0[[#This Row],[Sprung0]])),"")</f>
        <v>nicht durchgeführt</v>
      </c>
      <c r="S21" s="254" t="str">
        <f ca="1">IF(AuswDipl0[[#This Row],[Sprung000]]=Stammdaten!$AY$27,AuswDipl0[[#This Row],[Sprung000]],"")</f>
        <v>nicht durchgeführt</v>
      </c>
      <c r="T21" s="254" t="str">
        <f ca="1">IF(VLOOKUP(AuswDipl0[[#This Row],[Nummer]],_Diplom,T$6,FALSE)="",""," "&amp;VLOOKUP(AuswDipl0[[#This Row],[Nummer]],_Diplom,T$6,FALSE))</f>
        <v/>
      </c>
      <c r="U21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1" s="254" t="str">
        <f ca="1">IF(VLOOKUP(AuswDipl0[[#This Row],[Nummer]],_Diplom,V$6,FALSE)&lt;&gt;"","("&amp;VLOOKUP(AuswDipl0[[#This Row],[Nummer]],_Diplom,V$6,FALSE)&amp;")","")</f>
        <v/>
      </c>
      <c r="W21" s="254" t="str">
        <f ca="1">VLOOKUP(AuswDipl0[[#This Row],[Nummer]],_Diplom,W$6,FALSE)</f>
        <v>Wurfdisziplinen nicht durchgeführt</v>
      </c>
      <c r="X21" s="254" t="str">
        <f ca="1">IFERROR(VLOOKUP(AuswDipl0[[#This Row],[Wurf0]],INDIRECT($A$2),1,0),$W$4)</f>
        <v>Wurfdisziplinen</v>
      </c>
      <c r="Y21" s="254" t="str">
        <f ca="1">IF(AuswDipl0[[#This Row],[Wurf00]]=$W$4,MID(AuswDipl0[[#This Row],[Wurf0]],FIND(" ",AuswDipl0[[#This Row],[Wurf0]],1)+1,LEN(AuswDipl0[[#This Row],[Wurf0]])),"")</f>
        <v>nicht durchgeführt</v>
      </c>
      <c r="Z21" s="254" t="str">
        <f ca="1">IF(AuswDipl0[[#This Row],[Wurf000]]=Stammdaten!$AY$27,AuswDipl0[[#This Row],[Wurf000]],"")</f>
        <v>nicht durchgeführt</v>
      </c>
      <c r="AA21" s="254" t="str">
        <f ca="1">IF(VLOOKUP(AuswDipl0[[#This Row],[Nummer]],_Diplom,AA$6,FALSE)="",""," "&amp;VLOOKUP(AuswDipl0[[#This Row],[Nummer]],_Diplom,AA$6,FALSE))</f>
        <v/>
      </c>
      <c r="AB21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1" s="254" t="str">
        <f ca="1">IF(VLOOKUP(AuswDipl0[[#This Row],[Nummer]],_Diplom,AC$6,FALSE)&lt;&gt;"","("&amp;VLOOKUP(AuswDipl0[[#This Row],[Nummer]],_Diplom,AC$6,FALSE)&amp;")","")</f>
        <v/>
      </c>
      <c r="AD21" s="254" t="str">
        <f ca="1">IF(AuswDipl0[[#This Row],[ErGe_Höchst]]&lt;&gt;"",VLOOKUP(AuswDipl0[[#This Row],[Nummer]],_Diplom,$AD$6,FALSE),VLOOKUP(AuswDipl0[[#This Row],[Nummer]],_Diplom,$AD$6,FALSE))</f>
        <v>Erstes Gerät</v>
      </c>
      <c r="AE21" s="254" t="str">
        <f ca="1">VLOOKUP(AuswDipl0[[#This Row],[Nummer]],_Diplom,$AE$6,FALSE)</f>
        <v>nicht durchgeführt</v>
      </c>
      <c r="AF21" s="254" t="str">
        <f ca="1">IF(AuswDipl0[[#This Row],[ErGe_Höchst]]&lt;&gt;"",AuswDipl0[[#This Row],[ErGe_Höchst]],AuswDipl0[[#This Row],[ErGe_Txt2]])</f>
        <v>nicht durchgeführt</v>
      </c>
      <c r="AG21" s="254" t="str">
        <f ca="1">VLOOKUP(AuswDipl0[[#This Row],[Nummer]],_Diplom,$AG$6,FALSE)</f>
        <v/>
      </c>
      <c r="AH21" s="254" t="str">
        <f>VLOOKUP(AuswDipl0[[#This Row],[Nummer]],_Diplom,$AH$6,FALSE)</f>
        <v/>
      </c>
      <c r="AI21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1" s="254" t="str">
        <f ca="1">VLOOKUP(AuswDipl0[[#This Row],[Nummer]],_Diplom,$AJ$6,FALSE)</f>
        <v/>
      </c>
      <c r="AK21" s="254" t="str">
        <f ca="1">IF(AuswDipl0[[#This Row],[ZwGe_Höchst]]&lt;&gt;"",VLOOKUP(AuswDipl0[[#This Row],[Nummer]],_Diplom,$AK$6,FALSE),VLOOKUP(AuswDipl0[[#This Row],[Nummer]],_Diplom,$AK$6,FALSE))</f>
        <v>Zweites Gerät</v>
      </c>
      <c r="AL21" s="254" t="str">
        <f ca="1">VLOOKUP(AuswDipl0[[#This Row],[Nummer]],_Diplom,$AL$6,FALSE)</f>
        <v>nicht durchgeführt</v>
      </c>
      <c r="AM21" s="254" t="str">
        <f ca="1">IF(AuswDipl0[[#This Row],[ZwGe_Höchst]]&lt;&gt;"",AuswDipl0[[#This Row],[ZwGe_Höchst]],AuswDipl0[[#This Row],[ZwGe_Txt2]])</f>
        <v>nicht durchgeführt</v>
      </c>
      <c r="AN21" s="254" t="str">
        <f ca="1">VLOOKUP(AuswDipl0[[#This Row],[Nummer]],_Diplom,$AN$6,FALSE)</f>
        <v/>
      </c>
      <c r="AO21" s="254" t="str">
        <f>VLOOKUP(AuswDipl0[[#This Row],[Nummer]],_Diplom,$AO$6,FALSE)</f>
        <v/>
      </c>
      <c r="AP21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1" s="254" t="str">
        <f ca="1">VLOOKUP(AuswDipl0[[#This Row],[Nummer]],_Diplom,$AQ$6,FALSE)</f>
        <v/>
      </c>
      <c r="AR21" s="254" t="str">
        <f ca="1">IF(AuswDipl0[[#This Row],[DrGe_Höchst]]&lt;&gt;"",VLOOKUP(AuswDipl0[[#This Row],[Nummer]],_Diplom,$AR$6,FALSE),VLOOKUP(AuswDipl0[[#This Row],[Nummer]],_Diplom,$AR$6,FALSE))</f>
        <v>Drittes Gerät</v>
      </c>
      <c r="AS21" s="254" t="str">
        <f ca="1">VLOOKUP(AuswDipl0[[#This Row],[Nummer]],_Diplom,$AS$6,FALSE)</f>
        <v>nicht durchgeführt</v>
      </c>
      <c r="AT21" s="254" t="str">
        <f ca="1">IF(AuswDipl0[[#This Row],[DrGe_Höchst]]&lt;&gt;"",AuswDipl0[[#This Row],[DrGe_Höchst]],AuswDipl0[[#This Row],[DrGe_Txt2]])</f>
        <v>nicht durchgeführt</v>
      </c>
      <c r="AU21" s="254" t="str">
        <f ca="1">VLOOKUP(AuswDipl0[[#This Row],[Nummer]],_Diplom,$AU$6,FALSE)</f>
        <v/>
      </c>
      <c r="AV21" s="254" t="str">
        <f>VLOOKUP(AuswDipl0[[#This Row],[Nummer]],_Diplom,$AV$6,FALSE)</f>
        <v/>
      </c>
      <c r="AW21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1" s="254" t="str">
        <f ca="1">VLOOKUP(AuswDipl0[[#This Row],[Nummer]],_Diplom,$AX$6,FALSE)</f>
        <v/>
      </c>
      <c r="AY21" s="254" t="str">
        <f t="shared" si="0"/>
        <v>Parkour</v>
      </c>
      <c r="AZ21" s="254">
        <f ca="1">INDEX(INDIRECT($AZ$2),AuswDipl0[[#This Row],[Nummer]])</f>
        <v>0</v>
      </c>
      <c r="BA21" s="254" t="str">
        <f ca="1">IFERROR(IF(AuswDipl0[[#This Row],[ParkourPkte0]]&gt;0," "&amp;INDEX(INDIRECT($BA$2),MATCH($AY$1,INDIRECT($A$2),0)),""),"")</f>
        <v/>
      </c>
      <c r="BB21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1" s="254" t="str">
        <f ca="1">IF(AuswDipl0[[#This Row],[ParkourMax]]&lt;&gt;"",AuswDipl0[[#This Row],[ParkourMax]],Stammdaten!$AY$27)</f>
        <v>nicht durchgeführt</v>
      </c>
      <c r="BD21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1" s="254" t="str">
        <f ca="1">IF(AuswDipl0[[#This Row],[ParkourPkte1]]="","",VLOOKUP(AuswDipl0[[#This Row],[Nummer]],_Diplom,BE$6,FALSE))</f>
        <v/>
      </c>
      <c r="BF21" s="254" t="str">
        <f ca="1">VLOOKUP(AuswDipl0[[#This Row],[Nummer]],_Diplom,BF$6,FALSE)</f>
        <v>Darstellen und Tanzen</v>
      </c>
      <c r="BG21" s="254" t="str">
        <f ca="1">VLOOKUP(AuswDipl0[[#This Row],[Nummer]],_Diplom,BG$6,FALSE)</f>
        <v>nicht durchgeführt</v>
      </c>
      <c r="BH21" s="254" t="str">
        <f ca="1">IF(AuswDipl0[[#This Row],[BS_3_Max]]&lt;&gt;"",AuswDipl0[[#This Row],[BS_3_Max]],AuswDipl0[[#This Row],[BS_3_Txt1]])</f>
        <v>nicht durchgeführt</v>
      </c>
      <c r="BI21" s="254" t="str">
        <f ca="1">IF(VLOOKUP(AuswDipl0[[#This Row],[Nummer]],_Diplom,BI$6,FALSE)="","",VLOOKUP(AuswDipl0[[#This Row],[Nummer]],_Diplom,BI$6,FALSE))</f>
        <v/>
      </c>
      <c r="BJ21" s="254" t="str">
        <f ca="1">IF(AuswDipl0[[#This Row],[BS_3_Txt1]]=Stammdaten!$AX$19,AuswDipl0[[#This Row],[BS_3_Txt1]],AuswDipl0[[#This Row],[BS_3_Pkte0]]&amp;AuswDipl0[[#This Row],[BS_3_Mass]])</f>
        <v/>
      </c>
      <c r="BK21" s="254" t="str">
        <f ca="1">IFERROR(" "&amp;INDEX(INDIRECT($BK$2),MATCH(AuswDipl0[[#This Row],[BS_3_Txt0]],INDIRECT($A$2),0)),"")</f>
        <v/>
      </c>
      <c r="BL21" s="254" t="str">
        <f ca="1">VLOOKUP(AuswDipl0[[#This Row],[Nummer]],_Diplom,BL$6,FALSE)</f>
        <v/>
      </c>
      <c r="BM21" s="254" t="str">
        <f ca="1">IF(AuswDipl0[[#This Row],[ErSp_Höchst]]&lt;&gt;"",VLOOKUP(AuswDipl0[[#This Row],[Nummer]],_Diplom,$BM$6,FALSE),VLOOKUP(AuswDipl0[[#This Row],[Nummer]],_Diplom,$BM$6,FALSE))</f>
        <v>Erste Spielsportart</v>
      </c>
      <c r="BN21" s="254" t="str">
        <f ca="1">VLOOKUP(AuswDipl0[[#This Row],[Nummer]],_Diplom,$BN$6,FALSE)</f>
        <v>nicht durchgeführt</v>
      </c>
      <c r="BO21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1" s="254" t="str">
        <f ca="1">VLOOKUP(AuswDipl0[[#This Row],[Nummer]],_Diplom,$BP$6,FALSE)</f>
        <v/>
      </c>
      <c r="BQ21" s="254" t="str">
        <f ca="1">VLOOKUP(AuswDipl0[[#This Row],[Nummer]],_Diplom,$BQ$6,FALSE)</f>
        <v/>
      </c>
      <c r="BR21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1" s="254" t="str">
        <f ca="1">VLOOKUP(AuswDipl0[[#This Row],[Nummer]],_Diplom,$BS$6,FALSE)</f>
        <v/>
      </c>
      <c r="BT21" s="254" t="str">
        <f ca="1">VLOOKUP(AuswDipl0[[#This Row],[Nummer]],_Diplom,$BT$6,FALSE)</f>
        <v/>
      </c>
      <c r="BU21" s="254" t="str">
        <f ca="1">IF(AuswDipl0[[#This Row],[ZwSp_Höchst]]&lt;&gt;"",VLOOKUP(AuswDipl0[[#This Row],[Nummer]],_Diplom,$BU$6,FALSE),VLOOKUP(AuswDipl0[[#This Row],[Nummer]],_Diplom,$BU$6,FALSE))</f>
        <v>Zweite Spielsportart</v>
      </c>
      <c r="BV21" s="254" t="str">
        <f ca="1">VLOOKUP(AuswDipl0[[#This Row],[Nummer]],_Diplom,$BV$6,FALSE)</f>
        <v>nicht durchgeführt</v>
      </c>
      <c r="BW21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1" s="254" t="str">
        <f ca="1">VLOOKUP(AuswDipl0[[#This Row],[Nummer]],_Diplom,$BX$6,FALSE)</f>
        <v/>
      </c>
      <c r="BY21" s="254" t="str">
        <f ca="1">VLOOKUP(AuswDipl0[[#This Row],[Nummer]],_Diplom,$BY$6,FALSE)</f>
        <v/>
      </c>
      <c r="BZ21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1" s="254" t="str">
        <f ca="1">VLOOKUP(AuswDipl0[[#This Row],[Nummer]],_Diplom,$CA$6,FALSE)</f>
        <v/>
      </c>
      <c r="CB21" s="254" t="str">
        <f ca="1">VLOOKUP(AuswDipl0[[#This Row],[Nummer]],_Diplom,$CB$6,FALSE)</f>
        <v/>
      </c>
      <c r="CC21" s="254" t="str">
        <f ca="1">IF(AuswDipl0[[#This Row],[DrSp_Höchst]]&lt;&gt;"",VLOOKUP(AuswDipl0[[#This Row],[Nummer]],_Diplom,$CC$6,FALSE),VLOOKUP(AuswDipl0[[#This Row],[Nummer]],_Diplom,$CC$6,FALSE))</f>
        <v>Dritte Spielsportart</v>
      </c>
      <c r="CD21" s="254" t="str">
        <f ca="1">VLOOKUP(AuswDipl0[[#This Row],[Nummer]],_Diplom,$CD$6,FALSE)</f>
        <v>nicht durchgeführt</v>
      </c>
      <c r="CE21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1" s="254" t="str">
        <f ca="1">VLOOKUP(AuswDipl0[[#This Row],[Nummer]],_Diplom,$CF$6,FALSE)</f>
        <v/>
      </c>
      <c r="CG21" s="254" t="str">
        <f ca="1">VLOOKUP(AuswDipl0[[#This Row],[Nummer]],_Diplom,$CG$6,FALSE)</f>
        <v/>
      </c>
      <c r="CH21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1" s="254" t="str">
        <f ca="1">VLOOKUP(AuswDipl0[[#This Row],[Nummer]],_Diplom,$CI$6,FALSE)</f>
        <v/>
      </c>
      <c r="CJ21" s="254" t="str">
        <f ca="1">VLOOKUP(AuswDipl0[[#This Row],[Nummer]],_Diplom,$CJ$6,FALSE)</f>
        <v/>
      </c>
      <c r="CK21" s="254" t="str">
        <f ca="1">VLOOKUP(AuswDipl0[[#This Row],[Nummer]],_Diplom,CK$6,FALSE)</f>
        <v>Zu wenige Noten</v>
      </c>
      <c r="CL21" s="254">
        <f ca="1">VLOOKUP(AuswDipl0[[#This Row],[Nummer]],_Diplom,CL$6,FALSE)</f>
        <v>0</v>
      </c>
      <c r="CM21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1" s="254">
        <f ca="1">IFERROR(INDEX(INDIRECT($CN$4),MATCH(AuswDipl0[[#This Row],[BS_1_Med]],INDIRECT($CN$3),0)),6)</f>
        <v>6</v>
      </c>
      <c r="CO21" s="254" t="str">
        <f ca="1">VLOOKUP(AuswDipl0[[#This Row],[Nummer]],_Diplom,CO$6,FALSE)</f>
        <v>Zu wenige Noten</v>
      </c>
      <c r="CP21" s="254">
        <f>VLOOKUP(AuswDipl0[[#This Row],[Nummer]],_Diplom,CP$6,FALSE)</f>
        <v>0</v>
      </c>
      <c r="CQ21" s="254">
        <f ca="1">VLOOKUP(AuswDipl0[[#This Row],[Nummer]],_Diplom,CQ$6,FALSE)</f>
        <v>0</v>
      </c>
      <c r="CR21" s="254">
        <f ca="1">IF(AND(AuswDipl0[[#This Row],[BS_2_AnzGer]]&gt;=$CP$2,AND(ISNUMBER(AuswDipl0[[#This Row],[BS_2_Park]]),AuswDipl0[[#This Row],[BS_2_Park]]&gt;0)),1,0)</f>
        <v>0</v>
      </c>
      <c r="CS21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1" s="254">
        <f ca="1">IFERROR(INDEX(INDIRECT($CT$4),MATCH(AuswDipl0[[#This Row],[BS_2_Med]],INDIRECT($CT$3),0)),6)</f>
        <v>6</v>
      </c>
      <c r="CU21" s="254" t="str">
        <f ca="1">VLOOKUP(AuswDipl0[[#This Row],[Nummer]],_Diplom,CU$6,FALSE)</f>
        <v>Zu wenige Noten</v>
      </c>
      <c r="CV21" s="254">
        <f ca="1">IF(AuswDipl0[[#This Row],[BS_3_Erg]]=INDEX(StdFehler[StdFehler],4),0,IF(AuswDipl0[[#This Row],[BS_3_Erg]]=Stammdaten!$AX$19,Stammdaten!$AX$19,VALUE(AuswDipl0[[#This Row],[BS_3_Erg]])))</f>
        <v>0</v>
      </c>
      <c r="CW21" s="254" t="str">
        <f ca="1">IF(AuswDipl0[[#This Row],[BS_3_x]]=0,"",INDEX(INDIRECT(CW$4),MATCH(AuswDipl0[[#This Row],[BS_3_x]],INDIRECT(CW$3),0)))</f>
        <v/>
      </c>
      <c r="CX21" s="254">
        <f ca="1">IFERROR(INDEX(INDIRECT($CX$4),MATCH(AuswDipl0[[#This Row],[BS_3_Med]],INDIRECT($CX$3),0)),6)</f>
        <v>6</v>
      </c>
      <c r="CY21" s="254" t="str">
        <f ca="1">VLOOKUP(AuswDipl0[[#This Row],[Nummer]],_Diplom,CY$6,FALSE)</f>
        <v>Zu wenige Noten</v>
      </c>
      <c r="CZ21" s="254">
        <f ca="1">VLOOKUP(AuswDipl0[[#This Row],[Nummer]],_Diplom,CZ$6,FALSE)</f>
        <v>0</v>
      </c>
      <c r="DA21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1" s="254">
        <f ca="1">IFERROR(INDEX(INDIRECT($DB$4),MATCH(AuswDipl0[[#This Row],[BS_4_Med]],INDIRECT($DB$3),0)),6)</f>
        <v>6</v>
      </c>
    </row>
    <row r="22" spans="1:106" ht="12" customHeight="1" x14ac:dyDescent="0.25">
      <c r="A22" s="254">
        <v>16</v>
      </c>
      <c r="B22" s="254" t="str">
        <f ca="1">VLOOKUP(AuswDipl0[[#This Row],[Nummer]],_Diplom,B$6,FALSE)</f>
        <v>Sprintdisziplinen nicht durchgeführt</v>
      </c>
      <c r="C22" s="254" t="str">
        <f ca="1">IFERROR(VLOOKUP(AuswDipl0[[#This Row],[Sprint0]],INDIRECT($A$2),1,0),$B$4)</f>
        <v>Sprintdisziplinen</v>
      </c>
      <c r="D22" s="254" t="str">
        <f ca="1">IF(AuswDipl0[[#This Row],[Sprint00]]=$B$4,MID(AuswDipl0[[#This Row],[Sprint0]],FIND(" ",AuswDipl0[[#This Row],[Sprint0]],1)+1,LEN(AuswDipl0[[#This Row],[Sprint0]])),"")</f>
        <v>nicht durchgeführt</v>
      </c>
      <c r="E22" s="254" t="str">
        <f ca="1">IF(AuswDipl0[[#This Row],[Sprint000]]=Stammdaten!$AY$27,AuswDipl0[[#This Row],[Sprint000]],"")</f>
        <v>nicht durchgeführt</v>
      </c>
      <c r="F22" s="254" t="str">
        <f ca="1">IF(VLOOKUP(AuswDipl0[[#This Row],[Nummer]],_Diplom,F$6,FALSE)="",""," "&amp;VLOOKUP(AuswDipl0[[#This Row],[Nummer]],_Diplom,F$6,FALSE))</f>
        <v/>
      </c>
      <c r="G22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2" s="254" t="str">
        <f ca="1">IF(VLOOKUP(AuswDipl0[[#This Row],[Nummer]],_Diplom,H$6,FALSE)&lt;&gt;"","("&amp;VLOOKUP(AuswDipl0[[#This Row],[Nummer]],_Diplom,H$6,FALSE)&amp;")","")</f>
        <v/>
      </c>
      <c r="I22" s="254" t="str">
        <f ca="1">VLOOKUP(AuswDipl0[[#This Row],[Nummer]],_Diplom,I$6,FALSE)</f>
        <v>Ausdauerdisziplinen nicht durchgeführt</v>
      </c>
      <c r="J22" s="254" t="str">
        <f ca="1">IFERROR(VLOOKUP(AuswDipl0[[#This Row],[Ausdauer0]],INDIRECT($A$2),1,0),$I$4)</f>
        <v>Ausdauerdisziplinen</v>
      </c>
      <c r="K22" s="254" t="str">
        <f ca="1">IF(AuswDipl0[[#This Row],[Ausdauer00]]=$I$4,MID(AuswDipl0[[#This Row],[Ausdauer0]],FIND(" ",AuswDipl0[[#This Row],[Ausdauer0]],1)+1,LEN(AuswDipl0[[#This Row],[Ausdauer0]])),"")</f>
        <v>nicht durchgeführt</v>
      </c>
      <c r="L22" s="254" t="str">
        <f ca="1">IF(AuswDipl0[[#This Row],[Ausdauer000]]=Stammdaten!$AY$27,AuswDipl0[[#This Row],[Ausdauer000]],"")</f>
        <v>nicht durchgeführt</v>
      </c>
      <c r="M22" s="254" t="str">
        <f ca="1">IF(VLOOKUP(AuswDipl0[[#This Row],[Nummer]],_Diplom,M$6,FALSE)="",""," "&amp;VLOOKUP(AuswDipl0[[#This Row],[Nummer]],_Diplom,M$6,FALSE))</f>
        <v/>
      </c>
      <c r="N22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2" s="254" t="str">
        <f ca="1">IF(VLOOKUP(AuswDipl0[[#This Row],[Nummer]],_Diplom,O$6,FALSE)&lt;&gt;"","("&amp;VLOOKUP(AuswDipl0[[#This Row],[Nummer]],_Diplom,O$6,FALSE)&amp;")","")</f>
        <v/>
      </c>
      <c r="P22" s="254" t="str">
        <f ca="1">VLOOKUP(AuswDipl0[[#This Row],[Nummer]],_Diplom,P$6,FALSE)</f>
        <v>Sprungdisziplinen nicht durchgeführt</v>
      </c>
      <c r="Q22" s="254" t="str">
        <f ca="1">IFERROR(VLOOKUP(AuswDipl0[[#This Row],[Sprung0]],INDIRECT($A$2),1,0),$P$4)</f>
        <v>Sprungdisziplinen</v>
      </c>
      <c r="R22" s="254" t="str">
        <f ca="1">IF(AuswDipl0[[#This Row],[Sprung00]]=$P$4,MID(AuswDipl0[[#This Row],[Sprung0]],FIND(" ",AuswDipl0[[#This Row],[Sprung0]],1)+1,LEN(AuswDipl0[[#This Row],[Sprung0]])),"")</f>
        <v>nicht durchgeführt</v>
      </c>
      <c r="S22" s="254" t="str">
        <f ca="1">IF(AuswDipl0[[#This Row],[Sprung000]]=Stammdaten!$AY$27,AuswDipl0[[#This Row],[Sprung000]],"")</f>
        <v>nicht durchgeführt</v>
      </c>
      <c r="T22" s="254" t="str">
        <f ca="1">IF(VLOOKUP(AuswDipl0[[#This Row],[Nummer]],_Diplom,T$6,FALSE)="",""," "&amp;VLOOKUP(AuswDipl0[[#This Row],[Nummer]],_Diplom,T$6,FALSE))</f>
        <v/>
      </c>
      <c r="U22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2" s="254" t="str">
        <f ca="1">IF(VLOOKUP(AuswDipl0[[#This Row],[Nummer]],_Diplom,V$6,FALSE)&lt;&gt;"","("&amp;VLOOKUP(AuswDipl0[[#This Row],[Nummer]],_Diplom,V$6,FALSE)&amp;")","")</f>
        <v/>
      </c>
      <c r="W22" s="254" t="str">
        <f ca="1">VLOOKUP(AuswDipl0[[#This Row],[Nummer]],_Diplom,W$6,FALSE)</f>
        <v>Wurfdisziplinen nicht durchgeführt</v>
      </c>
      <c r="X22" s="254" t="str">
        <f ca="1">IFERROR(VLOOKUP(AuswDipl0[[#This Row],[Wurf0]],INDIRECT($A$2),1,0),$W$4)</f>
        <v>Wurfdisziplinen</v>
      </c>
      <c r="Y22" s="254" t="str">
        <f ca="1">IF(AuswDipl0[[#This Row],[Wurf00]]=$W$4,MID(AuswDipl0[[#This Row],[Wurf0]],FIND(" ",AuswDipl0[[#This Row],[Wurf0]],1)+1,LEN(AuswDipl0[[#This Row],[Wurf0]])),"")</f>
        <v>nicht durchgeführt</v>
      </c>
      <c r="Z22" s="254" t="str">
        <f ca="1">IF(AuswDipl0[[#This Row],[Wurf000]]=Stammdaten!$AY$27,AuswDipl0[[#This Row],[Wurf000]],"")</f>
        <v>nicht durchgeführt</v>
      </c>
      <c r="AA22" s="254" t="str">
        <f ca="1">IF(VLOOKUP(AuswDipl0[[#This Row],[Nummer]],_Diplom,AA$6,FALSE)="",""," "&amp;VLOOKUP(AuswDipl0[[#This Row],[Nummer]],_Diplom,AA$6,FALSE))</f>
        <v/>
      </c>
      <c r="AB22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2" s="254" t="str">
        <f ca="1">IF(VLOOKUP(AuswDipl0[[#This Row],[Nummer]],_Diplom,AC$6,FALSE)&lt;&gt;"","("&amp;VLOOKUP(AuswDipl0[[#This Row],[Nummer]],_Diplom,AC$6,FALSE)&amp;")","")</f>
        <v/>
      </c>
      <c r="AD22" s="254" t="str">
        <f ca="1">IF(AuswDipl0[[#This Row],[ErGe_Höchst]]&lt;&gt;"",VLOOKUP(AuswDipl0[[#This Row],[Nummer]],_Diplom,$AD$6,FALSE),VLOOKUP(AuswDipl0[[#This Row],[Nummer]],_Diplom,$AD$6,FALSE))</f>
        <v>Erstes Gerät</v>
      </c>
      <c r="AE22" s="254" t="str">
        <f ca="1">VLOOKUP(AuswDipl0[[#This Row],[Nummer]],_Diplom,$AE$6,FALSE)</f>
        <v>nicht durchgeführt</v>
      </c>
      <c r="AF22" s="254" t="str">
        <f ca="1">IF(AuswDipl0[[#This Row],[ErGe_Höchst]]&lt;&gt;"",AuswDipl0[[#This Row],[ErGe_Höchst]],AuswDipl0[[#This Row],[ErGe_Txt2]])</f>
        <v>nicht durchgeführt</v>
      </c>
      <c r="AG22" s="254" t="str">
        <f ca="1">VLOOKUP(AuswDipl0[[#This Row],[Nummer]],_Diplom,$AG$6,FALSE)</f>
        <v/>
      </c>
      <c r="AH22" s="254" t="str">
        <f>VLOOKUP(AuswDipl0[[#This Row],[Nummer]],_Diplom,$AH$6,FALSE)</f>
        <v/>
      </c>
      <c r="AI22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2" s="254" t="str">
        <f ca="1">VLOOKUP(AuswDipl0[[#This Row],[Nummer]],_Diplom,$AJ$6,FALSE)</f>
        <v/>
      </c>
      <c r="AK22" s="254" t="str">
        <f ca="1">IF(AuswDipl0[[#This Row],[ZwGe_Höchst]]&lt;&gt;"",VLOOKUP(AuswDipl0[[#This Row],[Nummer]],_Diplom,$AK$6,FALSE),VLOOKUP(AuswDipl0[[#This Row],[Nummer]],_Diplom,$AK$6,FALSE))</f>
        <v>Zweites Gerät</v>
      </c>
      <c r="AL22" s="254" t="str">
        <f ca="1">VLOOKUP(AuswDipl0[[#This Row],[Nummer]],_Diplom,$AL$6,FALSE)</f>
        <v>nicht durchgeführt</v>
      </c>
      <c r="AM22" s="254" t="str">
        <f ca="1">IF(AuswDipl0[[#This Row],[ZwGe_Höchst]]&lt;&gt;"",AuswDipl0[[#This Row],[ZwGe_Höchst]],AuswDipl0[[#This Row],[ZwGe_Txt2]])</f>
        <v>nicht durchgeführt</v>
      </c>
      <c r="AN22" s="254" t="str">
        <f ca="1">VLOOKUP(AuswDipl0[[#This Row],[Nummer]],_Diplom,$AN$6,FALSE)</f>
        <v/>
      </c>
      <c r="AO22" s="254" t="str">
        <f>VLOOKUP(AuswDipl0[[#This Row],[Nummer]],_Diplom,$AO$6,FALSE)</f>
        <v/>
      </c>
      <c r="AP22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2" s="254" t="str">
        <f ca="1">VLOOKUP(AuswDipl0[[#This Row],[Nummer]],_Diplom,$AQ$6,FALSE)</f>
        <v/>
      </c>
      <c r="AR22" s="254" t="str">
        <f ca="1">IF(AuswDipl0[[#This Row],[DrGe_Höchst]]&lt;&gt;"",VLOOKUP(AuswDipl0[[#This Row],[Nummer]],_Diplom,$AR$6,FALSE),VLOOKUP(AuswDipl0[[#This Row],[Nummer]],_Diplom,$AR$6,FALSE))</f>
        <v>Drittes Gerät</v>
      </c>
      <c r="AS22" s="254" t="str">
        <f ca="1">VLOOKUP(AuswDipl0[[#This Row],[Nummer]],_Diplom,$AS$6,FALSE)</f>
        <v>nicht durchgeführt</v>
      </c>
      <c r="AT22" s="254" t="str">
        <f ca="1">IF(AuswDipl0[[#This Row],[DrGe_Höchst]]&lt;&gt;"",AuswDipl0[[#This Row],[DrGe_Höchst]],AuswDipl0[[#This Row],[DrGe_Txt2]])</f>
        <v>nicht durchgeführt</v>
      </c>
      <c r="AU22" s="254" t="str">
        <f ca="1">VLOOKUP(AuswDipl0[[#This Row],[Nummer]],_Diplom,$AU$6,FALSE)</f>
        <v/>
      </c>
      <c r="AV22" s="254" t="str">
        <f>VLOOKUP(AuswDipl0[[#This Row],[Nummer]],_Diplom,$AV$6,FALSE)</f>
        <v/>
      </c>
      <c r="AW22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2" s="254" t="str">
        <f ca="1">VLOOKUP(AuswDipl0[[#This Row],[Nummer]],_Diplom,$AX$6,FALSE)</f>
        <v/>
      </c>
      <c r="AY22" s="254" t="str">
        <f t="shared" si="0"/>
        <v>Parkour</v>
      </c>
      <c r="AZ22" s="254">
        <f ca="1">INDEX(INDIRECT($AZ$2),AuswDipl0[[#This Row],[Nummer]])</f>
        <v>0</v>
      </c>
      <c r="BA22" s="254" t="str">
        <f ca="1">IFERROR(IF(AuswDipl0[[#This Row],[ParkourPkte0]]&gt;0," "&amp;INDEX(INDIRECT($BA$2),MATCH($AY$1,INDIRECT($A$2),0)),""),"")</f>
        <v/>
      </c>
      <c r="BB22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2" s="254" t="str">
        <f ca="1">IF(AuswDipl0[[#This Row],[ParkourMax]]&lt;&gt;"",AuswDipl0[[#This Row],[ParkourMax]],Stammdaten!$AY$27)</f>
        <v>nicht durchgeführt</v>
      </c>
      <c r="BD22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2" s="254" t="str">
        <f ca="1">IF(AuswDipl0[[#This Row],[ParkourPkte1]]="","",VLOOKUP(AuswDipl0[[#This Row],[Nummer]],_Diplom,BE$6,FALSE))</f>
        <v/>
      </c>
      <c r="BF22" s="254" t="str">
        <f ca="1">VLOOKUP(AuswDipl0[[#This Row],[Nummer]],_Diplom,BF$6,FALSE)</f>
        <v>Darstellen und Tanzen</v>
      </c>
      <c r="BG22" s="254" t="str">
        <f ca="1">VLOOKUP(AuswDipl0[[#This Row],[Nummer]],_Diplom,BG$6,FALSE)</f>
        <v>nicht durchgeführt</v>
      </c>
      <c r="BH22" s="254" t="str">
        <f ca="1">IF(AuswDipl0[[#This Row],[BS_3_Max]]&lt;&gt;"",AuswDipl0[[#This Row],[BS_3_Max]],AuswDipl0[[#This Row],[BS_3_Txt1]])</f>
        <v>nicht durchgeführt</v>
      </c>
      <c r="BI22" s="254" t="str">
        <f ca="1">IF(VLOOKUP(AuswDipl0[[#This Row],[Nummer]],_Diplom,BI$6,FALSE)="","",VLOOKUP(AuswDipl0[[#This Row],[Nummer]],_Diplom,BI$6,FALSE))</f>
        <v/>
      </c>
      <c r="BJ22" s="254" t="str">
        <f ca="1">IF(AuswDipl0[[#This Row],[BS_3_Txt1]]=Stammdaten!$AX$19,AuswDipl0[[#This Row],[BS_3_Txt1]],AuswDipl0[[#This Row],[BS_3_Pkte0]]&amp;AuswDipl0[[#This Row],[BS_3_Mass]])</f>
        <v/>
      </c>
      <c r="BK22" s="254" t="str">
        <f ca="1">IFERROR(" "&amp;INDEX(INDIRECT($BK$2),MATCH(AuswDipl0[[#This Row],[BS_3_Txt0]],INDIRECT($A$2),0)),"")</f>
        <v/>
      </c>
      <c r="BL22" s="254" t="str">
        <f ca="1">VLOOKUP(AuswDipl0[[#This Row],[Nummer]],_Diplom,BL$6,FALSE)</f>
        <v/>
      </c>
      <c r="BM22" s="254" t="str">
        <f ca="1">IF(AuswDipl0[[#This Row],[ErSp_Höchst]]&lt;&gt;"",VLOOKUP(AuswDipl0[[#This Row],[Nummer]],_Diplom,$BM$6,FALSE),VLOOKUP(AuswDipl0[[#This Row],[Nummer]],_Diplom,$BM$6,FALSE))</f>
        <v>Erste Spielsportart</v>
      </c>
      <c r="BN22" s="254" t="str">
        <f ca="1">VLOOKUP(AuswDipl0[[#This Row],[Nummer]],_Diplom,$BN$6,FALSE)</f>
        <v>nicht durchgeführt</v>
      </c>
      <c r="BO22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2" s="254" t="str">
        <f ca="1">VLOOKUP(AuswDipl0[[#This Row],[Nummer]],_Diplom,$BP$6,FALSE)</f>
        <v/>
      </c>
      <c r="BQ22" s="254" t="str">
        <f ca="1">VLOOKUP(AuswDipl0[[#This Row],[Nummer]],_Diplom,$BQ$6,FALSE)</f>
        <v/>
      </c>
      <c r="BR22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2" s="254" t="str">
        <f ca="1">VLOOKUP(AuswDipl0[[#This Row],[Nummer]],_Diplom,$BS$6,FALSE)</f>
        <v/>
      </c>
      <c r="BT22" s="254" t="str">
        <f ca="1">VLOOKUP(AuswDipl0[[#This Row],[Nummer]],_Diplom,$BT$6,FALSE)</f>
        <v/>
      </c>
      <c r="BU22" s="254" t="str">
        <f ca="1">IF(AuswDipl0[[#This Row],[ZwSp_Höchst]]&lt;&gt;"",VLOOKUP(AuswDipl0[[#This Row],[Nummer]],_Diplom,$BU$6,FALSE),VLOOKUP(AuswDipl0[[#This Row],[Nummer]],_Diplom,$BU$6,FALSE))</f>
        <v>Zweite Spielsportart</v>
      </c>
      <c r="BV22" s="254" t="str">
        <f ca="1">VLOOKUP(AuswDipl0[[#This Row],[Nummer]],_Diplom,$BV$6,FALSE)</f>
        <v>nicht durchgeführt</v>
      </c>
      <c r="BW22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2" s="254" t="str">
        <f ca="1">VLOOKUP(AuswDipl0[[#This Row],[Nummer]],_Diplom,$BX$6,FALSE)</f>
        <v/>
      </c>
      <c r="BY22" s="254" t="str">
        <f ca="1">VLOOKUP(AuswDipl0[[#This Row],[Nummer]],_Diplom,$BY$6,FALSE)</f>
        <v/>
      </c>
      <c r="BZ22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2" s="254" t="str">
        <f ca="1">VLOOKUP(AuswDipl0[[#This Row],[Nummer]],_Diplom,$CA$6,FALSE)</f>
        <v/>
      </c>
      <c r="CB22" s="254" t="str">
        <f ca="1">VLOOKUP(AuswDipl0[[#This Row],[Nummer]],_Diplom,$CB$6,FALSE)</f>
        <v/>
      </c>
      <c r="CC22" s="254" t="str">
        <f ca="1">IF(AuswDipl0[[#This Row],[DrSp_Höchst]]&lt;&gt;"",VLOOKUP(AuswDipl0[[#This Row],[Nummer]],_Diplom,$CC$6,FALSE),VLOOKUP(AuswDipl0[[#This Row],[Nummer]],_Diplom,$CC$6,FALSE))</f>
        <v>Dritte Spielsportart</v>
      </c>
      <c r="CD22" s="254" t="str">
        <f ca="1">VLOOKUP(AuswDipl0[[#This Row],[Nummer]],_Diplom,$CD$6,FALSE)</f>
        <v>nicht durchgeführt</v>
      </c>
      <c r="CE22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2" s="254" t="str">
        <f ca="1">VLOOKUP(AuswDipl0[[#This Row],[Nummer]],_Diplom,$CF$6,FALSE)</f>
        <v/>
      </c>
      <c r="CG22" s="254" t="str">
        <f ca="1">VLOOKUP(AuswDipl0[[#This Row],[Nummer]],_Diplom,$CG$6,FALSE)</f>
        <v/>
      </c>
      <c r="CH22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2" s="254" t="str">
        <f ca="1">VLOOKUP(AuswDipl0[[#This Row],[Nummer]],_Diplom,$CI$6,FALSE)</f>
        <v/>
      </c>
      <c r="CJ22" s="254" t="str">
        <f ca="1">VLOOKUP(AuswDipl0[[#This Row],[Nummer]],_Diplom,$CJ$6,FALSE)</f>
        <v/>
      </c>
      <c r="CK22" s="254" t="str">
        <f ca="1">VLOOKUP(AuswDipl0[[#This Row],[Nummer]],_Diplom,CK$6,FALSE)</f>
        <v>Zu wenige Noten</v>
      </c>
      <c r="CL22" s="254">
        <f ca="1">VLOOKUP(AuswDipl0[[#This Row],[Nummer]],_Diplom,CL$6,FALSE)</f>
        <v>0</v>
      </c>
      <c r="CM22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2" s="254">
        <f ca="1">IFERROR(INDEX(INDIRECT($CN$4),MATCH(AuswDipl0[[#This Row],[BS_1_Med]],INDIRECT($CN$3),0)),6)</f>
        <v>6</v>
      </c>
      <c r="CO22" s="254" t="str">
        <f ca="1">VLOOKUP(AuswDipl0[[#This Row],[Nummer]],_Diplom,CO$6,FALSE)</f>
        <v>Zu wenige Noten</v>
      </c>
      <c r="CP22" s="254">
        <f>VLOOKUP(AuswDipl0[[#This Row],[Nummer]],_Diplom,CP$6,FALSE)</f>
        <v>0</v>
      </c>
      <c r="CQ22" s="254">
        <f ca="1">VLOOKUP(AuswDipl0[[#This Row],[Nummer]],_Diplom,CQ$6,FALSE)</f>
        <v>0</v>
      </c>
      <c r="CR22" s="254">
        <f ca="1">IF(AND(AuswDipl0[[#This Row],[BS_2_AnzGer]]&gt;=$CP$2,AND(ISNUMBER(AuswDipl0[[#This Row],[BS_2_Park]]),AuswDipl0[[#This Row],[BS_2_Park]]&gt;0)),1,0)</f>
        <v>0</v>
      </c>
      <c r="CS22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2" s="254">
        <f ca="1">IFERROR(INDEX(INDIRECT($CT$4),MATCH(AuswDipl0[[#This Row],[BS_2_Med]],INDIRECT($CT$3),0)),6)</f>
        <v>6</v>
      </c>
      <c r="CU22" s="254" t="str">
        <f ca="1">VLOOKUP(AuswDipl0[[#This Row],[Nummer]],_Diplom,CU$6,FALSE)</f>
        <v>Zu wenige Noten</v>
      </c>
      <c r="CV22" s="254">
        <f ca="1">IF(AuswDipl0[[#This Row],[BS_3_Erg]]=INDEX(StdFehler[StdFehler],4),0,IF(AuswDipl0[[#This Row],[BS_3_Erg]]=Stammdaten!$AX$19,Stammdaten!$AX$19,VALUE(AuswDipl0[[#This Row],[BS_3_Erg]])))</f>
        <v>0</v>
      </c>
      <c r="CW22" s="254" t="str">
        <f ca="1">IF(AuswDipl0[[#This Row],[BS_3_x]]=0,"",INDEX(INDIRECT(CW$4),MATCH(AuswDipl0[[#This Row],[BS_3_x]],INDIRECT(CW$3),0)))</f>
        <v/>
      </c>
      <c r="CX22" s="254">
        <f ca="1">IFERROR(INDEX(INDIRECT($CX$4),MATCH(AuswDipl0[[#This Row],[BS_3_Med]],INDIRECT($CX$3),0)),6)</f>
        <v>6</v>
      </c>
      <c r="CY22" s="254" t="str">
        <f ca="1">VLOOKUP(AuswDipl0[[#This Row],[Nummer]],_Diplom,CY$6,FALSE)</f>
        <v>Zu wenige Noten</v>
      </c>
      <c r="CZ22" s="254">
        <f ca="1">VLOOKUP(AuswDipl0[[#This Row],[Nummer]],_Diplom,CZ$6,FALSE)</f>
        <v>0</v>
      </c>
      <c r="DA22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2" s="254">
        <f ca="1">IFERROR(INDEX(INDIRECT($DB$4),MATCH(AuswDipl0[[#This Row],[BS_4_Med]],INDIRECT($DB$3),0)),6)</f>
        <v>6</v>
      </c>
    </row>
    <row r="23" spans="1:106" ht="12" customHeight="1" x14ac:dyDescent="0.25">
      <c r="A23" s="254">
        <v>17</v>
      </c>
      <c r="B23" s="254" t="str">
        <f ca="1">VLOOKUP(AuswDipl0[[#This Row],[Nummer]],_Diplom,B$6,FALSE)</f>
        <v>Sprintdisziplinen nicht durchgeführt</v>
      </c>
      <c r="C23" s="254" t="str">
        <f ca="1">IFERROR(VLOOKUP(AuswDipl0[[#This Row],[Sprint0]],INDIRECT($A$2),1,0),$B$4)</f>
        <v>Sprintdisziplinen</v>
      </c>
      <c r="D23" s="254" t="str">
        <f ca="1">IF(AuswDipl0[[#This Row],[Sprint00]]=$B$4,MID(AuswDipl0[[#This Row],[Sprint0]],FIND(" ",AuswDipl0[[#This Row],[Sprint0]],1)+1,LEN(AuswDipl0[[#This Row],[Sprint0]])),"")</f>
        <v>nicht durchgeführt</v>
      </c>
      <c r="E23" s="254" t="str">
        <f ca="1">IF(AuswDipl0[[#This Row],[Sprint000]]=Stammdaten!$AY$27,AuswDipl0[[#This Row],[Sprint000]],"")</f>
        <v>nicht durchgeführt</v>
      </c>
      <c r="F23" s="254" t="str">
        <f ca="1">IF(VLOOKUP(AuswDipl0[[#This Row],[Nummer]],_Diplom,F$6,FALSE)="",""," "&amp;VLOOKUP(AuswDipl0[[#This Row],[Nummer]],_Diplom,F$6,FALSE))</f>
        <v/>
      </c>
      <c r="G23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3" s="254" t="str">
        <f ca="1">IF(VLOOKUP(AuswDipl0[[#This Row],[Nummer]],_Diplom,H$6,FALSE)&lt;&gt;"","("&amp;VLOOKUP(AuswDipl0[[#This Row],[Nummer]],_Diplom,H$6,FALSE)&amp;")","")</f>
        <v/>
      </c>
      <c r="I23" s="254" t="str">
        <f ca="1">VLOOKUP(AuswDipl0[[#This Row],[Nummer]],_Diplom,I$6,FALSE)</f>
        <v>Ausdauerdisziplinen nicht durchgeführt</v>
      </c>
      <c r="J23" s="254" t="str">
        <f ca="1">IFERROR(VLOOKUP(AuswDipl0[[#This Row],[Ausdauer0]],INDIRECT($A$2),1,0),$I$4)</f>
        <v>Ausdauerdisziplinen</v>
      </c>
      <c r="K23" s="254" t="str">
        <f ca="1">IF(AuswDipl0[[#This Row],[Ausdauer00]]=$I$4,MID(AuswDipl0[[#This Row],[Ausdauer0]],FIND(" ",AuswDipl0[[#This Row],[Ausdauer0]],1)+1,LEN(AuswDipl0[[#This Row],[Ausdauer0]])),"")</f>
        <v>nicht durchgeführt</v>
      </c>
      <c r="L23" s="254" t="str">
        <f ca="1">IF(AuswDipl0[[#This Row],[Ausdauer000]]=Stammdaten!$AY$27,AuswDipl0[[#This Row],[Ausdauer000]],"")</f>
        <v>nicht durchgeführt</v>
      </c>
      <c r="M23" s="254" t="str">
        <f ca="1">IF(VLOOKUP(AuswDipl0[[#This Row],[Nummer]],_Diplom,M$6,FALSE)="",""," "&amp;VLOOKUP(AuswDipl0[[#This Row],[Nummer]],_Diplom,M$6,FALSE))</f>
        <v/>
      </c>
      <c r="N23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3" s="254" t="str">
        <f ca="1">IF(VLOOKUP(AuswDipl0[[#This Row],[Nummer]],_Diplom,O$6,FALSE)&lt;&gt;"","("&amp;VLOOKUP(AuswDipl0[[#This Row],[Nummer]],_Diplom,O$6,FALSE)&amp;")","")</f>
        <v/>
      </c>
      <c r="P23" s="254" t="str">
        <f ca="1">VLOOKUP(AuswDipl0[[#This Row],[Nummer]],_Diplom,P$6,FALSE)</f>
        <v>Sprungdisziplinen nicht durchgeführt</v>
      </c>
      <c r="Q23" s="254" t="str">
        <f ca="1">IFERROR(VLOOKUP(AuswDipl0[[#This Row],[Sprung0]],INDIRECT($A$2),1,0),$P$4)</f>
        <v>Sprungdisziplinen</v>
      </c>
      <c r="R23" s="254" t="str">
        <f ca="1">IF(AuswDipl0[[#This Row],[Sprung00]]=$P$4,MID(AuswDipl0[[#This Row],[Sprung0]],FIND(" ",AuswDipl0[[#This Row],[Sprung0]],1)+1,LEN(AuswDipl0[[#This Row],[Sprung0]])),"")</f>
        <v>nicht durchgeführt</v>
      </c>
      <c r="S23" s="254" t="str">
        <f ca="1">IF(AuswDipl0[[#This Row],[Sprung000]]=Stammdaten!$AY$27,AuswDipl0[[#This Row],[Sprung000]],"")</f>
        <v>nicht durchgeführt</v>
      </c>
      <c r="T23" s="254" t="str">
        <f ca="1">IF(VLOOKUP(AuswDipl0[[#This Row],[Nummer]],_Diplom,T$6,FALSE)="",""," "&amp;VLOOKUP(AuswDipl0[[#This Row],[Nummer]],_Diplom,T$6,FALSE))</f>
        <v/>
      </c>
      <c r="U23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3" s="254" t="str">
        <f ca="1">IF(VLOOKUP(AuswDipl0[[#This Row],[Nummer]],_Diplom,V$6,FALSE)&lt;&gt;"","("&amp;VLOOKUP(AuswDipl0[[#This Row],[Nummer]],_Diplom,V$6,FALSE)&amp;")","")</f>
        <v/>
      </c>
      <c r="W23" s="254" t="str">
        <f ca="1">VLOOKUP(AuswDipl0[[#This Row],[Nummer]],_Diplom,W$6,FALSE)</f>
        <v>Wurfdisziplinen nicht durchgeführt</v>
      </c>
      <c r="X23" s="254" t="str">
        <f ca="1">IFERROR(VLOOKUP(AuswDipl0[[#This Row],[Wurf0]],INDIRECT($A$2),1,0),$W$4)</f>
        <v>Wurfdisziplinen</v>
      </c>
      <c r="Y23" s="254" t="str">
        <f ca="1">IF(AuswDipl0[[#This Row],[Wurf00]]=$W$4,MID(AuswDipl0[[#This Row],[Wurf0]],FIND(" ",AuswDipl0[[#This Row],[Wurf0]],1)+1,LEN(AuswDipl0[[#This Row],[Wurf0]])),"")</f>
        <v>nicht durchgeführt</v>
      </c>
      <c r="Z23" s="254" t="str">
        <f ca="1">IF(AuswDipl0[[#This Row],[Wurf000]]=Stammdaten!$AY$27,AuswDipl0[[#This Row],[Wurf000]],"")</f>
        <v>nicht durchgeführt</v>
      </c>
      <c r="AA23" s="254" t="str">
        <f ca="1">IF(VLOOKUP(AuswDipl0[[#This Row],[Nummer]],_Diplom,AA$6,FALSE)="",""," "&amp;VLOOKUP(AuswDipl0[[#This Row],[Nummer]],_Diplom,AA$6,FALSE))</f>
        <v/>
      </c>
      <c r="AB23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3" s="254" t="str">
        <f ca="1">IF(VLOOKUP(AuswDipl0[[#This Row],[Nummer]],_Diplom,AC$6,FALSE)&lt;&gt;"","("&amp;VLOOKUP(AuswDipl0[[#This Row],[Nummer]],_Diplom,AC$6,FALSE)&amp;")","")</f>
        <v/>
      </c>
      <c r="AD23" s="254" t="str">
        <f ca="1">IF(AuswDipl0[[#This Row],[ErGe_Höchst]]&lt;&gt;"",VLOOKUP(AuswDipl0[[#This Row],[Nummer]],_Diplom,$AD$6,FALSE),VLOOKUP(AuswDipl0[[#This Row],[Nummer]],_Diplom,$AD$6,FALSE))</f>
        <v>Erstes Gerät</v>
      </c>
      <c r="AE23" s="254" t="str">
        <f ca="1">VLOOKUP(AuswDipl0[[#This Row],[Nummer]],_Diplom,$AE$6,FALSE)</f>
        <v>nicht durchgeführt</v>
      </c>
      <c r="AF23" s="254" t="str">
        <f ca="1">IF(AuswDipl0[[#This Row],[ErGe_Höchst]]&lt;&gt;"",AuswDipl0[[#This Row],[ErGe_Höchst]],AuswDipl0[[#This Row],[ErGe_Txt2]])</f>
        <v>nicht durchgeführt</v>
      </c>
      <c r="AG23" s="254" t="str">
        <f ca="1">VLOOKUP(AuswDipl0[[#This Row],[Nummer]],_Diplom,$AG$6,FALSE)</f>
        <v/>
      </c>
      <c r="AH23" s="254" t="str">
        <f>VLOOKUP(AuswDipl0[[#This Row],[Nummer]],_Diplom,$AH$6,FALSE)</f>
        <v/>
      </c>
      <c r="AI23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3" s="254" t="str">
        <f ca="1">VLOOKUP(AuswDipl0[[#This Row],[Nummer]],_Diplom,$AJ$6,FALSE)</f>
        <v/>
      </c>
      <c r="AK23" s="254" t="str">
        <f ca="1">IF(AuswDipl0[[#This Row],[ZwGe_Höchst]]&lt;&gt;"",VLOOKUP(AuswDipl0[[#This Row],[Nummer]],_Diplom,$AK$6,FALSE),VLOOKUP(AuswDipl0[[#This Row],[Nummer]],_Diplom,$AK$6,FALSE))</f>
        <v>Zweites Gerät</v>
      </c>
      <c r="AL23" s="254" t="str">
        <f ca="1">VLOOKUP(AuswDipl0[[#This Row],[Nummer]],_Diplom,$AL$6,FALSE)</f>
        <v>nicht durchgeführt</v>
      </c>
      <c r="AM23" s="254" t="str">
        <f ca="1">IF(AuswDipl0[[#This Row],[ZwGe_Höchst]]&lt;&gt;"",AuswDipl0[[#This Row],[ZwGe_Höchst]],AuswDipl0[[#This Row],[ZwGe_Txt2]])</f>
        <v>nicht durchgeführt</v>
      </c>
      <c r="AN23" s="254" t="str">
        <f ca="1">VLOOKUP(AuswDipl0[[#This Row],[Nummer]],_Diplom,$AN$6,FALSE)</f>
        <v/>
      </c>
      <c r="AO23" s="254" t="str">
        <f>VLOOKUP(AuswDipl0[[#This Row],[Nummer]],_Diplom,$AO$6,FALSE)</f>
        <v/>
      </c>
      <c r="AP23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3" s="254" t="str">
        <f ca="1">VLOOKUP(AuswDipl0[[#This Row],[Nummer]],_Diplom,$AQ$6,FALSE)</f>
        <v/>
      </c>
      <c r="AR23" s="254" t="str">
        <f ca="1">IF(AuswDipl0[[#This Row],[DrGe_Höchst]]&lt;&gt;"",VLOOKUP(AuswDipl0[[#This Row],[Nummer]],_Diplom,$AR$6,FALSE),VLOOKUP(AuswDipl0[[#This Row],[Nummer]],_Diplom,$AR$6,FALSE))</f>
        <v>Drittes Gerät</v>
      </c>
      <c r="AS23" s="254" t="str">
        <f ca="1">VLOOKUP(AuswDipl0[[#This Row],[Nummer]],_Diplom,$AS$6,FALSE)</f>
        <v>nicht durchgeführt</v>
      </c>
      <c r="AT23" s="254" t="str">
        <f ca="1">IF(AuswDipl0[[#This Row],[DrGe_Höchst]]&lt;&gt;"",AuswDipl0[[#This Row],[DrGe_Höchst]],AuswDipl0[[#This Row],[DrGe_Txt2]])</f>
        <v>nicht durchgeführt</v>
      </c>
      <c r="AU23" s="254" t="str">
        <f ca="1">VLOOKUP(AuswDipl0[[#This Row],[Nummer]],_Diplom,$AU$6,FALSE)</f>
        <v/>
      </c>
      <c r="AV23" s="254" t="str">
        <f>VLOOKUP(AuswDipl0[[#This Row],[Nummer]],_Diplom,$AV$6,FALSE)</f>
        <v/>
      </c>
      <c r="AW23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3" s="254" t="str">
        <f ca="1">VLOOKUP(AuswDipl0[[#This Row],[Nummer]],_Diplom,$AX$6,FALSE)</f>
        <v/>
      </c>
      <c r="AY23" s="254" t="str">
        <f t="shared" si="0"/>
        <v>Parkour</v>
      </c>
      <c r="AZ23" s="254">
        <f ca="1">INDEX(INDIRECT($AZ$2),AuswDipl0[[#This Row],[Nummer]])</f>
        <v>0</v>
      </c>
      <c r="BA23" s="254" t="str">
        <f ca="1">IFERROR(IF(AuswDipl0[[#This Row],[ParkourPkte0]]&gt;0," "&amp;INDEX(INDIRECT($BA$2),MATCH($AY$1,INDIRECT($A$2),0)),""),"")</f>
        <v/>
      </c>
      <c r="BB23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3" s="254" t="str">
        <f ca="1">IF(AuswDipl0[[#This Row],[ParkourMax]]&lt;&gt;"",AuswDipl0[[#This Row],[ParkourMax]],Stammdaten!$AY$27)</f>
        <v>nicht durchgeführt</v>
      </c>
      <c r="BD23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3" s="254" t="str">
        <f ca="1">IF(AuswDipl0[[#This Row],[ParkourPkte1]]="","",VLOOKUP(AuswDipl0[[#This Row],[Nummer]],_Diplom,BE$6,FALSE))</f>
        <v/>
      </c>
      <c r="BF23" s="254" t="str">
        <f ca="1">VLOOKUP(AuswDipl0[[#This Row],[Nummer]],_Diplom,BF$6,FALSE)</f>
        <v>Darstellen und Tanzen</v>
      </c>
      <c r="BG23" s="254" t="str">
        <f ca="1">VLOOKUP(AuswDipl0[[#This Row],[Nummer]],_Diplom,BG$6,FALSE)</f>
        <v>nicht durchgeführt</v>
      </c>
      <c r="BH23" s="254" t="str">
        <f ca="1">IF(AuswDipl0[[#This Row],[BS_3_Max]]&lt;&gt;"",AuswDipl0[[#This Row],[BS_3_Max]],AuswDipl0[[#This Row],[BS_3_Txt1]])</f>
        <v>nicht durchgeführt</v>
      </c>
      <c r="BI23" s="254" t="str">
        <f ca="1">IF(VLOOKUP(AuswDipl0[[#This Row],[Nummer]],_Diplom,BI$6,FALSE)="","",VLOOKUP(AuswDipl0[[#This Row],[Nummer]],_Diplom,BI$6,FALSE))</f>
        <v/>
      </c>
      <c r="BJ23" s="254" t="str">
        <f ca="1">IF(AuswDipl0[[#This Row],[BS_3_Txt1]]=Stammdaten!$AX$19,AuswDipl0[[#This Row],[BS_3_Txt1]],AuswDipl0[[#This Row],[BS_3_Pkte0]]&amp;AuswDipl0[[#This Row],[BS_3_Mass]])</f>
        <v/>
      </c>
      <c r="BK23" s="254" t="str">
        <f ca="1">IFERROR(" "&amp;INDEX(INDIRECT($BK$2),MATCH(AuswDipl0[[#This Row],[BS_3_Txt0]],INDIRECT($A$2),0)),"")</f>
        <v/>
      </c>
      <c r="BL23" s="254" t="str">
        <f ca="1">VLOOKUP(AuswDipl0[[#This Row],[Nummer]],_Diplom,BL$6,FALSE)</f>
        <v/>
      </c>
      <c r="BM23" s="254" t="str">
        <f ca="1">IF(AuswDipl0[[#This Row],[ErSp_Höchst]]&lt;&gt;"",VLOOKUP(AuswDipl0[[#This Row],[Nummer]],_Diplom,$BM$6,FALSE),VLOOKUP(AuswDipl0[[#This Row],[Nummer]],_Diplom,$BM$6,FALSE))</f>
        <v>Erste Spielsportart</v>
      </c>
      <c r="BN23" s="254" t="str">
        <f ca="1">VLOOKUP(AuswDipl0[[#This Row],[Nummer]],_Diplom,$BN$6,FALSE)</f>
        <v>nicht durchgeführt</v>
      </c>
      <c r="BO23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3" s="254" t="str">
        <f ca="1">VLOOKUP(AuswDipl0[[#This Row],[Nummer]],_Diplom,$BP$6,FALSE)</f>
        <v/>
      </c>
      <c r="BQ23" s="254" t="str">
        <f ca="1">VLOOKUP(AuswDipl0[[#This Row],[Nummer]],_Diplom,$BQ$6,FALSE)</f>
        <v/>
      </c>
      <c r="BR23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3" s="254" t="str">
        <f ca="1">VLOOKUP(AuswDipl0[[#This Row],[Nummer]],_Diplom,$BS$6,FALSE)</f>
        <v/>
      </c>
      <c r="BT23" s="254" t="str">
        <f ca="1">VLOOKUP(AuswDipl0[[#This Row],[Nummer]],_Diplom,$BT$6,FALSE)</f>
        <v/>
      </c>
      <c r="BU23" s="254" t="str">
        <f ca="1">IF(AuswDipl0[[#This Row],[ZwSp_Höchst]]&lt;&gt;"",VLOOKUP(AuswDipl0[[#This Row],[Nummer]],_Diplom,$BU$6,FALSE),VLOOKUP(AuswDipl0[[#This Row],[Nummer]],_Diplom,$BU$6,FALSE))</f>
        <v>Zweite Spielsportart</v>
      </c>
      <c r="BV23" s="254" t="str">
        <f ca="1">VLOOKUP(AuswDipl0[[#This Row],[Nummer]],_Diplom,$BV$6,FALSE)</f>
        <v>nicht durchgeführt</v>
      </c>
      <c r="BW23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3" s="254" t="str">
        <f ca="1">VLOOKUP(AuswDipl0[[#This Row],[Nummer]],_Diplom,$BX$6,FALSE)</f>
        <v/>
      </c>
      <c r="BY23" s="254" t="str">
        <f ca="1">VLOOKUP(AuswDipl0[[#This Row],[Nummer]],_Diplom,$BY$6,FALSE)</f>
        <v/>
      </c>
      <c r="BZ23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3" s="254" t="str">
        <f ca="1">VLOOKUP(AuswDipl0[[#This Row],[Nummer]],_Diplom,$CA$6,FALSE)</f>
        <v/>
      </c>
      <c r="CB23" s="254" t="str">
        <f ca="1">VLOOKUP(AuswDipl0[[#This Row],[Nummer]],_Diplom,$CB$6,FALSE)</f>
        <v/>
      </c>
      <c r="CC23" s="254" t="str">
        <f ca="1">IF(AuswDipl0[[#This Row],[DrSp_Höchst]]&lt;&gt;"",VLOOKUP(AuswDipl0[[#This Row],[Nummer]],_Diplom,$CC$6,FALSE),VLOOKUP(AuswDipl0[[#This Row],[Nummer]],_Diplom,$CC$6,FALSE))</f>
        <v>Dritte Spielsportart</v>
      </c>
      <c r="CD23" s="254" t="str">
        <f ca="1">VLOOKUP(AuswDipl0[[#This Row],[Nummer]],_Diplom,$CD$6,FALSE)</f>
        <v>nicht durchgeführt</v>
      </c>
      <c r="CE23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3" s="254" t="str">
        <f ca="1">VLOOKUP(AuswDipl0[[#This Row],[Nummer]],_Diplom,$CF$6,FALSE)</f>
        <v/>
      </c>
      <c r="CG23" s="254" t="str">
        <f ca="1">VLOOKUP(AuswDipl0[[#This Row],[Nummer]],_Diplom,$CG$6,FALSE)</f>
        <v/>
      </c>
      <c r="CH23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3" s="254" t="str">
        <f ca="1">VLOOKUP(AuswDipl0[[#This Row],[Nummer]],_Diplom,$CI$6,FALSE)</f>
        <v/>
      </c>
      <c r="CJ23" s="254" t="str">
        <f ca="1">VLOOKUP(AuswDipl0[[#This Row],[Nummer]],_Diplom,$CJ$6,FALSE)</f>
        <v/>
      </c>
      <c r="CK23" s="254" t="str">
        <f ca="1">VLOOKUP(AuswDipl0[[#This Row],[Nummer]],_Diplom,CK$6,FALSE)</f>
        <v>Zu wenige Noten</v>
      </c>
      <c r="CL23" s="254">
        <f ca="1">VLOOKUP(AuswDipl0[[#This Row],[Nummer]],_Diplom,CL$6,FALSE)</f>
        <v>0</v>
      </c>
      <c r="CM23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3" s="254">
        <f ca="1">IFERROR(INDEX(INDIRECT($CN$4),MATCH(AuswDipl0[[#This Row],[BS_1_Med]],INDIRECT($CN$3),0)),6)</f>
        <v>6</v>
      </c>
      <c r="CO23" s="254" t="str">
        <f ca="1">VLOOKUP(AuswDipl0[[#This Row],[Nummer]],_Diplom,CO$6,FALSE)</f>
        <v>Zu wenige Noten</v>
      </c>
      <c r="CP23" s="254">
        <f>VLOOKUP(AuswDipl0[[#This Row],[Nummer]],_Diplom,CP$6,FALSE)</f>
        <v>0</v>
      </c>
      <c r="CQ23" s="254">
        <f ca="1">VLOOKUP(AuswDipl0[[#This Row],[Nummer]],_Diplom,CQ$6,FALSE)</f>
        <v>0</v>
      </c>
      <c r="CR23" s="254">
        <f ca="1">IF(AND(AuswDipl0[[#This Row],[BS_2_AnzGer]]&gt;=$CP$2,AND(ISNUMBER(AuswDipl0[[#This Row],[BS_2_Park]]),AuswDipl0[[#This Row],[BS_2_Park]]&gt;0)),1,0)</f>
        <v>0</v>
      </c>
      <c r="CS23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3" s="254">
        <f ca="1">IFERROR(INDEX(INDIRECT($CT$4),MATCH(AuswDipl0[[#This Row],[BS_2_Med]],INDIRECT($CT$3),0)),6)</f>
        <v>6</v>
      </c>
      <c r="CU23" s="254" t="str">
        <f ca="1">VLOOKUP(AuswDipl0[[#This Row],[Nummer]],_Diplom,CU$6,FALSE)</f>
        <v>Zu wenige Noten</v>
      </c>
      <c r="CV23" s="254">
        <f ca="1">IF(AuswDipl0[[#This Row],[BS_3_Erg]]=INDEX(StdFehler[StdFehler],4),0,IF(AuswDipl0[[#This Row],[BS_3_Erg]]=Stammdaten!$AX$19,Stammdaten!$AX$19,VALUE(AuswDipl0[[#This Row],[BS_3_Erg]])))</f>
        <v>0</v>
      </c>
      <c r="CW23" s="254" t="str">
        <f ca="1">IF(AuswDipl0[[#This Row],[BS_3_x]]=0,"",INDEX(INDIRECT(CW$4),MATCH(AuswDipl0[[#This Row],[BS_3_x]],INDIRECT(CW$3),0)))</f>
        <v/>
      </c>
      <c r="CX23" s="254">
        <f ca="1">IFERROR(INDEX(INDIRECT($CX$4),MATCH(AuswDipl0[[#This Row],[BS_3_Med]],INDIRECT($CX$3),0)),6)</f>
        <v>6</v>
      </c>
      <c r="CY23" s="254" t="str">
        <f ca="1">VLOOKUP(AuswDipl0[[#This Row],[Nummer]],_Diplom,CY$6,FALSE)</f>
        <v>Zu wenige Noten</v>
      </c>
      <c r="CZ23" s="254">
        <f ca="1">VLOOKUP(AuswDipl0[[#This Row],[Nummer]],_Diplom,CZ$6,FALSE)</f>
        <v>0</v>
      </c>
      <c r="DA23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3" s="254">
        <f ca="1">IFERROR(INDEX(INDIRECT($DB$4),MATCH(AuswDipl0[[#This Row],[BS_4_Med]],INDIRECT($DB$3),0)),6)</f>
        <v>6</v>
      </c>
    </row>
    <row r="24" spans="1:106" ht="12" customHeight="1" x14ac:dyDescent="0.25">
      <c r="A24" s="254">
        <v>18</v>
      </c>
      <c r="B24" s="254" t="str">
        <f ca="1">VLOOKUP(AuswDipl0[[#This Row],[Nummer]],_Diplom,B$6,FALSE)</f>
        <v>Sprintdisziplinen nicht durchgeführt</v>
      </c>
      <c r="C24" s="254" t="str">
        <f ca="1">IFERROR(VLOOKUP(AuswDipl0[[#This Row],[Sprint0]],INDIRECT($A$2),1,0),$B$4)</f>
        <v>Sprintdisziplinen</v>
      </c>
      <c r="D24" s="254" t="str">
        <f ca="1">IF(AuswDipl0[[#This Row],[Sprint00]]=$B$4,MID(AuswDipl0[[#This Row],[Sprint0]],FIND(" ",AuswDipl0[[#This Row],[Sprint0]],1)+1,LEN(AuswDipl0[[#This Row],[Sprint0]])),"")</f>
        <v>nicht durchgeführt</v>
      </c>
      <c r="E24" s="254" t="str">
        <f ca="1">IF(AuswDipl0[[#This Row],[Sprint000]]=Stammdaten!$AY$27,AuswDipl0[[#This Row],[Sprint000]],"")</f>
        <v>nicht durchgeführt</v>
      </c>
      <c r="F24" s="254" t="str">
        <f ca="1">IF(VLOOKUP(AuswDipl0[[#This Row],[Nummer]],_Diplom,F$6,FALSE)="",""," "&amp;VLOOKUP(AuswDipl0[[#This Row],[Nummer]],_Diplom,F$6,FALSE))</f>
        <v/>
      </c>
      <c r="G24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4" s="254" t="str">
        <f ca="1">IF(VLOOKUP(AuswDipl0[[#This Row],[Nummer]],_Diplom,H$6,FALSE)&lt;&gt;"","("&amp;VLOOKUP(AuswDipl0[[#This Row],[Nummer]],_Diplom,H$6,FALSE)&amp;")","")</f>
        <v/>
      </c>
      <c r="I24" s="254" t="str">
        <f ca="1">VLOOKUP(AuswDipl0[[#This Row],[Nummer]],_Diplom,I$6,FALSE)</f>
        <v>Ausdauerdisziplinen nicht durchgeführt</v>
      </c>
      <c r="J24" s="254" t="str">
        <f ca="1">IFERROR(VLOOKUP(AuswDipl0[[#This Row],[Ausdauer0]],INDIRECT($A$2),1,0),$I$4)</f>
        <v>Ausdauerdisziplinen</v>
      </c>
      <c r="K24" s="254" t="str">
        <f ca="1">IF(AuswDipl0[[#This Row],[Ausdauer00]]=$I$4,MID(AuswDipl0[[#This Row],[Ausdauer0]],FIND(" ",AuswDipl0[[#This Row],[Ausdauer0]],1)+1,LEN(AuswDipl0[[#This Row],[Ausdauer0]])),"")</f>
        <v>nicht durchgeführt</v>
      </c>
      <c r="L24" s="254" t="str">
        <f ca="1">IF(AuswDipl0[[#This Row],[Ausdauer000]]=Stammdaten!$AY$27,AuswDipl0[[#This Row],[Ausdauer000]],"")</f>
        <v>nicht durchgeführt</v>
      </c>
      <c r="M24" s="254" t="str">
        <f ca="1">IF(VLOOKUP(AuswDipl0[[#This Row],[Nummer]],_Diplom,M$6,FALSE)="",""," "&amp;VLOOKUP(AuswDipl0[[#This Row],[Nummer]],_Diplom,M$6,FALSE))</f>
        <v/>
      </c>
      <c r="N24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4" s="254" t="str">
        <f ca="1">IF(VLOOKUP(AuswDipl0[[#This Row],[Nummer]],_Diplom,O$6,FALSE)&lt;&gt;"","("&amp;VLOOKUP(AuswDipl0[[#This Row],[Nummer]],_Diplom,O$6,FALSE)&amp;")","")</f>
        <v/>
      </c>
      <c r="P24" s="254" t="str">
        <f ca="1">VLOOKUP(AuswDipl0[[#This Row],[Nummer]],_Diplom,P$6,FALSE)</f>
        <v>Sprungdisziplinen nicht durchgeführt</v>
      </c>
      <c r="Q24" s="254" t="str">
        <f ca="1">IFERROR(VLOOKUP(AuswDipl0[[#This Row],[Sprung0]],INDIRECT($A$2),1,0),$P$4)</f>
        <v>Sprungdisziplinen</v>
      </c>
      <c r="R24" s="254" t="str">
        <f ca="1">IF(AuswDipl0[[#This Row],[Sprung00]]=$P$4,MID(AuswDipl0[[#This Row],[Sprung0]],FIND(" ",AuswDipl0[[#This Row],[Sprung0]],1)+1,LEN(AuswDipl0[[#This Row],[Sprung0]])),"")</f>
        <v>nicht durchgeführt</v>
      </c>
      <c r="S24" s="254" t="str">
        <f ca="1">IF(AuswDipl0[[#This Row],[Sprung000]]=Stammdaten!$AY$27,AuswDipl0[[#This Row],[Sprung000]],"")</f>
        <v>nicht durchgeführt</v>
      </c>
      <c r="T24" s="254" t="str">
        <f ca="1">IF(VLOOKUP(AuswDipl0[[#This Row],[Nummer]],_Diplom,T$6,FALSE)="",""," "&amp;VLOOKUP(AuswDipl0[[#This Row],[Nummer]],_Diplom,T$6,FALSE))</f>
        <v/>
      </c>
      <c r="U24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4" s="254" t="str">
        <f ca="1">IF(VLOOKUP(AuswDipl0[[#This Row],[Nummer]],_Diplom,V$6,FALSE)&lt;&gt;"","("&amp;VLOOKUP(AuswDipl0[[#This Row],[Nummer]],_Diplom,V$6,FALSE)&amp;")","")</f>
        <v/>
      </c>
      <c r="W24" s="254" t="str">
        <f ca="1">VLOOKUP(AuswDipl0[[#This Row],[Nummer]],_Diplom,W$6,FALSE)</f>
        <v>Wurfdisziplinen nicht durchgeführt</v>
      </c>
      <c r="X24" s="254" t="str">
        <f ca="1">IFERROR(VLOOKUP(AuswDipl0[[#This Row],[Wurf0]],INDIRECT($A$2),1,0),$W$4)</f>
        <v>Wurfdisziplinen</v>
      </c>
      <c r="Y24" s="254" t="str">
        <f ca="1">IF(AuswDipl0[[#This Row],[Wurf00]]=$W$4,MID(AuswDipl0[[#This Row],[Wurf0]],FIND(" ",AuswDipl0[[#This Row],[Wurf0]],1)+1,LEN(AuswDipl0[[#This Row],[Wurf0]])),"")</f>
        <v>nicht durchgeführt</v>
      </c>
      <c r="Z24" s="254" t="str">
        <f ca="1">IF(AuswDipl0[[#This Row],[Wurf000]]=Stammdaten!$AY$27,AuswDipl0[[#This Row],[Wurf000]],"")</f>
        <v>nicht durchgeführt</v>
      </c>
      <c r="AA24" s="254" t="str">
        <f ca="1">IF(VLOOKUP(AuswDipl0[[#This Row],[Nummer]],_Diplom,AA$6,FALSE)="",""," "&amp;VLOOKUP(AuswDipl0[[#This Row],[Nummer]],_Diplom,AA$6,FALSE))</f>
        <v/>
      </c>
      <c r="AB24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4" s="254" t="str">
        <f ca="1">IF(VLOOKUP(AuswDipl0[[#This Row],[Nummer]],_Diplom,AC$6,FALSE)&lt;&gt;"","("&amp;VLOOKUP(AuswDipl0[[#This Row],[Nummer]],_Diplom,AC$6,FALSE)&amp;")","")</f>
        <v/>
      </c>
      <c r="AD24" s="254" t="str">
        <f ca="1">IF(AuswDipl0[[#This Row],[ErGe_Höchst]]&lt;&gt;"",VLOOKUP(AuswDipl0[[#This Row],[Nummer]],_Diplom,$AD$6,FALSE),VLOOKUP(AuswDipl0[[#This Row],[Nummer]],_Diplom,$AD$6,FALSE))</f>
        <v>Erstes Gerät</v>
      </c>
      <c r="AE24" s="254" t="str">
        <f ca="1">VLOOKUP(AuswDipl0[[#This Row],[Nummer]],_Diplom,$AE$6,FALSE)</f>
        <v>nicht durchgeführt</v>
      </c>
      <c r="AF24" s="254" t="str">
        <f ca="1">IF(AuswDipl0[[#This Row],[ErGe_Höchst]]&lt;&gt;"",AuswDipl0[[#This Row],[ErGe_Höchst]],AuswDipl0[[#This Row],[ErGe_Txt2]])</f>
        <v>nicht durchgeführt</v>
      </c>
      <c r="AG24" s="254" t="str">
        <f ca="1">VLOOKUP(AuswDipl0[[#This Row],[Nummer]],_Diplom,$AG$6,FALSE)</f>
        <v/>
      </c>
      <c r="AH24" s="254" t="str">
        <f>VLOOKUP(AuswDipl0[[#This Row],[Nummer]],_Diplom,$AH$6,FALSE)</f>
        <v/>
      </c>
      <c r="AI24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4" s="254" t="str">
        <f ca="1">VLOOKUP(AuswDipl0[[#This Row],[Nummer]],_Diplom,$AJ$6,FALSE)</f>
        <v/>
      </c>
      <c r="AK24" s="254" t="str">
        <f ca="1">IF(AuswDipl0[[#This Row],[ZwGe_Höchst]]&lt;&gt;"",VLOOKUP(AuswDipl0[[#This Row],[Nummer]],_Diplom,$AK$6,FALSE),VLOOKUP(AuswDipl0[[#This Row],[Nummer]],_Diplom,$AK$6,FALSE))</f>
        <v>Zweites Gerät</v>
      </c>
      <c r="AL24" s="254" t="str">
        <f ca="1">VLOOKUP(AuswDipl0[[#This Row],[Nummer]],_Diplom,$AL$6,FALSE)</f>
        <v>nicht durchgeführt</v>
      </c>
      <c r="AM24" s="254" t="str">
        <f ca="1">IF(AuswDipl0[[#This Row],[ZwGe_Höchst]]&lt;&gt;"",AuswDipl0[[#This Row],[ZwGe_Höchst]],AuswDipl0[[#This Row],[ZwGe_Txt2]])</f>
        <v>nicht durchgeführt</v>
      </c>
      <c r="AN24" s="254" t="str">
        <f ca="1">VLOOKUP(AuswDipl0[[#This Row],[Nummer]],_Diplom,$AN$6,FALSE)</f>
        <v/>
      </c>
      <c r="AO24" s="254" t="str">
        <f>VLOOKUP(AuswDipl0[[#This Row],[Nummer]],_Diplom,$AO$6,FALSE)</f>
        <v/>
      </c>
      <c r="AP24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4" s="254" t="str">
        <f ca="1">VLOOKUP(AuswDipl0[[#This Row],[Nummer]],_Diplom,$AQ$6,FALSE)</f>
        <v/>
      </c>
      <c r="AR24" s="254" t="str">
        <f ca="1">IF(AuswDipl0[[#This Row],[DrGe_Höchst]]&lt;&gt;"",VLOOKUP(AuswDipl0[[#This Row],[Nummer]],_Diplom,$AR$6,FALSE),VLOOKUP(AuswDipl0[[#This Row],[Nummer]],_Diplom,$AR$6,FALSE))</f>
        <v>Drittes Gerät</v>
      </c>
      <c r="AS24" s="254" t="str">
        <f ca="1">VLOOKUP(AuswDipl0[[#This Row],[Nummer]],_Diplom,$AS$6,FALSE)</f>
        <v>nicht durchgeführt</v>
      </c>
      <c r="AT24" s="254" t="str">
        <f ca="1">IF(AuswDipl0[[#This Row],[DrGe_Höchst]]&lt;&gt;"",AuswDipl0[[#This Row],[DrGe_Höchst]],AuswDipl0[[#This Row],[DrGe_Txt2]])</f>
        <v>nicht durchgeführt</v>
      </c>
      <c r="AU24" s="254" t="str">
        <f ca="1">VLOOKUP(AuswDipl0[[#This Row],[Nummer]],_Diplom,$AU$6,FALSE)</f>
        <v/>
      </c>
      <c r="AV24" s="254" t="str">
        <f>VLOOKUP(AuswDipl0[[#This Row],[Nummer]],_Diplom,$AV$6,FALSE)</f>
        <v/>
      </c>
      <c r="AW24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4" s="254" t="str">
        <f ca="1">VLOOKUP(AuswDipl0[[#This Row],[Nummer]],_Diplom,$AX$6,FALSE)</f>
        <v/>
      </c>
      <c r="AY24" s="254" t="str">
        <f t="shared" si="0"/>
        <v>Parkour</v>
      </c>
      <c r="AZ24" s="254">
        <f ca="1">INDEX(INDIRECT($AZ$2),AuswDipl0[[#This Row],[Nummer]])</f>
        <v>0</v>
      </c>
      <c r="BA24" s="254" t="str">
        <f ca="1">IFERROR(IF(AuswDipl0[[#This Row],[ParkourPkte0]]&gt;0," "&amp;INDEX(INDIRECT($BA$2),MATCH($AY$1,INDIRECT($A$2),0)),""),"")</f>
        <v/>
      </c>
      <c r="BB24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4" s="254" t="str">
        <f ca="1">IF(AuswDipl0[[#This Row],[ParkourMax]]&lt;&gt;"",AuswDipl0[[#This Row],[ParkourMax]],Stammdaten!$AY$27)</f>
        <v>nicht durchgeführt</v>
      </c>
      <c r="BD24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4" s="254" t="str">
        <f ca="1">IF(AuswDipl0[[#This Row],[ParkourPkte1]]="","",VLOOKUP(AuswDipl0[[#This Row],[Nummer]],_Diplom,BE$6,FALSE))</f>
        <v/>
      </c>
      <c r="BF24" s="254" t="str">
        <f ca="1">VLOOKUP(AuswDipl0[[#This Row],[Nummer]],_Diplom,BF$6,FALSE)</f>
        <v>Darstellen und Tanzen</v>
      </c>
      <c r="BG24" s="254" t="str">
        <f ca="1">VLOOKUP(AuswDipl0[[#This Row],[Nummer]],_Diplom,BG$6,FALSE)</f>
        <v>nicht durchgeführt</v>
      </c>
      <c r="BH24" s="254" t="str">
        <f ca="1">IF(AuswDipl0[[#This Row],[BS_3_Max]]&lt;&gt;"",AuswDipl0[[#This Row],[BS_3_Max]],AuswDipl0[[#This Row],[BS_3_Txt1]])</f>
        <v>nicht durchgeführt</v>
      </c>
      <c r="BI24" s="254" t="str">
        <f ca="1">IF(VLOOKUP(AuswDipl0[[#This Row],[Nummer]],_Diplom,BI$6,FALSE)="","",VLOOKUP(AuswDipl0[[#This Row],[Nummer]],_Diplom,BI$6,FALSE))</f>
        <v/>
      </c>
      <c r="BJ24" s="254" t="str">
        <f ca="1">IF(AuswDipl0[[#This Row],[BS_3_Txt1]]=Stammdaten!$AX$19,AuswDipl0[[#This Row],[BS_3_Txt1]],AuswDipl0[[#This Row],[BS_3_Pkte0]]&amp;AuswDipl0[[#This Row],[BS_3_Mass]])</f>
        <v/>
      </c>
      <c r="BK24" s="254" t="str">
        <f ca="1">IFERROR(" "&amp;INDEX(INDIRECT($BK$2),MATCH(AuswDipl0[[#This Row],[BS_3_Txt0]],INDIRECT($A$2),0)),"")</f>
        <v/>
      </c>
      <c r="BL24" s="254" t="str">
        <f ca="1">VLOOKUP(AuswDipl0[[#This Row],[Nummer]],_Diplom,BL$6,FALSE)</f>
        <v/>
      </c>
      <c r="BM24" s="254" t="str">
        <f ca="1">IF(AuswDipl0[[#This Row],[ErSp_Höchst]]&lt;&gt;"",VLOOKUP(AuswDipl0[[#This Row],[Nummer]],_Diplom,$BM$6,FALSE),VLOOKUP(AuswDipl0[[#This Row],[Nummer]],_Diplom,$BM$6,FALSE))</f>
        <v>Erste Spielsportart</v>
      </c>
      <c r="BN24" s="254" t="str">
        <f ca="1">VLOOKUP(AuswDipl0[[#This Row],[Nummer]],_Diplom,$BN$6,FALSE)</f>
        <v>nicht durchgeführt</v>
      </c>
      <c r="BO24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4" s="254" t="str">
        <f ca="1">VLOOKUP(AuswDipl0[[#This Row],[Nummer]],_Diplom,$BP$6,FALSE)</f>
        <v/>
      </c>
      <c r="BQ24" s="254" t="str">
        <f ca="1">VLOOKUP(AuswDipl0[[#This Row],[Nummer]],_Diplom,$BQ$6,FALSE)</f>
        <v/>
      </c>
      <c r="BR24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4" s="254" t="str">
        <f ca="1">VLOOKUP(AuswDipl0[[#This Row],[Nummer]],_Diplom,$BS$6,FALSE)</f>
        <v/>
      </c>
      <c r="BT24" s="254" t="str">
        <f ca="1">VLOOKUP(AuswDipl0[[#This Row],[Nummer]],_Diplom,$BT$6,FALSE)</f>
        <v/>
      </c>
      <c r="BU24" s="254" t="str">
        <f ca="1">IF(AuswDipl0[[#This Row],[ZwSp_Höchst]]&lt;&gt;"",VLOOKUP(AuswDipl0[[#This Row],[Nummer]],_Diplom,$BU$6,FALSE),VLOOKUP(AuswDipl0[[#This Row],[Nummer]],_Diplom,$BU$6,FALSE))</f>
        <v>Zweite Spielsportart</v>
      </c>
      <c r="BV24" s="254" t="str">
        <f ca="1">VLOOKUP(AuswDipl0[[#This Row],[Nummer]],_Diplom,$BV$6,FALSE)</f>
        <v>nicht durchgeführt</v>
      </c>
      <c r="BW24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4" s="254" t="str">
        <f ca="1">VLOOKUP(AuswDipl0[[#This Row],[Nummer]],_Diplom,$BX$6,FALSE)</f>
        <v/>
      </c>
      <c r="BY24" s="254" t="str">
        <f ca="1">VLOOKUP(AuswDipl0[[#This Row],[Nummer]],_Diplom,$BY$6,FALSE)</f>
        <v/>
      </c>
      <c r="BZ24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4" s="254" t="str">
        <f ca="1">VLOOKUP(AuswDipl0[[#This Row],[Nummer]],_Diplom,$CA$6,FALSE)</f>
        <v/>
      </c>
      <c r="CB24" s="254" t="str">
        <f ca="1">VLOOKUP(AuswDipl0[[#This Row],[Nummer]],_Diplom,$CB$6,FALSE)</f>
        <v/>
      </c>
      <c r="CC24" s="254" t="str">
        <f ca="1">IF(AuswDipl0[[#This Row],[DrSp_Höchst]]&lt;&gt;"",VLOOKUP(AuswDipl0[[#This Row],[Nummer]],_Diplom,$CC$6,FALSE),VLOOKUP(AuswDipl0[[#This Row],[Nummer]],_Diplom,$CC$6,FALSE))</f>
        <v>Dritte Spielsportart</v>
      </c>
      <c r="CD24" s="254" t="str">
        <f ca="1">VLOOKUP(AuswDipl0[[#This Row],[Nummer]],_Diplom,$CD$6,FALSE)</f>
        <v>nicht durchgeführt</v>
      </c>
      <c r="CE24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4" s="254" t="str">
        <f ca="1">VLOOKUP(AuswDipl0[[#This Row],[Nummer]],_Diplom,$CF$6,FALSE)</f>
        <v/>
      </c>
      <c r="CG24" s="254" t="str">
        <f ca="1">VLOOKUP(AuswDipl0[[#This Row],[Nummer]],_Diplom,$CG$6,FALSE)</f>
        <v/>
      </c>
      <c r="CH24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4" s="254" t="str">
        <f ca="1">VLOOKUP(AuswDipl0[[#This Row],[Nummer]],_Diplom,$CI$6,FALSE)</f>
        <v/>
      </c>
      <c r="CJ24" s="254" t="str">
        <f ca="1">VLOOKUP(AuswDipl0[[#This Row],[Nummer]],_Diplom,$CJ$6,FALSE)</f>
        <v/>
      </c>
      <c r="CK24" s="254" t="str">
        <f ca="1">VLOOKUP(AuswDipl0[[#This Row],[Nummer]],_Diplom,CK$6,FALSE)</f>
        <v>Zu wenige Noten</v>
      </c>
      <c r="CL24" s="254">
        <f ca="1">VLOOKUP(AuswDipl0[[#This Row],[Nummer]],_Diplom,CL$6,FALSE)</f>
        <v>0</v>
      </c>
      <c r="CM24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4" s="254">
        <f ca="1">IFERROR(INDEX(INDIRECT($CN$4),MATCH(AuswDipl0[[#This Row],[BS_1_Med]],INDIRECT($CN$3),0)),6)</f>
        <v>6</v>
      </c>
      <c r="CO24" s="254" t="str">
        <f ca="1">VLOOKUP(AuswDipl0[[#This Row],[Nummer]],_Diplom,CO$6,FALSE)</f>
        <v>Zu wenige Noten</v>
      </c>
      <c r="CP24" s="254">
        <f>VLOOKUP(AuswDipl0[[#This Row],[Nummer]],_Diplom,CP$6,FALSE)</f>
        <v>0</v>
      </c>
      <c r="CQ24" s="254">
        <f ca="1">VLOOKUP(AuswDipl0[[#This Row],[Nummer]],_Diplom,CQ$6,FALSE)</f>
        <v>0</v>
      </c>
      <c r="CR24" s="254">
        <f ca="1">IF(AND(AuswDipl0[[#This Row],[BS_2_AnzGer]]&gt;=$CP$2,AND(ISNUMBER(AuswDipl0[[#This Row],[BS_2_Park]]),AuswDipl0[[#This Row],[BS_2_Park]]&gt;0)),1,0)</f>
        <v>0</v>
      </c>
      <c r="CS24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4" s="254">
        <f ca="1">IFERROR(INDEX(INDIRECT($CT$4),MATCH(AuswDipl0[[#This Row],[BS_2_Med]],INDIRECT($CT$3),0)),6)</f>
        <v>6</v>
      </c>
      <c r="CU24" s="254" t="str">
        <f ca="1">VLOOKUP(AuswDipl0[[#This Row],[Nummer]],_Diplom,CU$6,FALSE)</f>
        <v>Zu wenige Noten</v>
      </c>
      <c r="CV24" s="254">
        <f ca="1">IF(AuswDipl0[[#This Row],[BS_3_Erg]]=INDEX(StdFehler[StdFehler],4),0,IF(AuswDipl0[[#This Row],[BS_3_Erg]]=Stammdaten!$AX$19,Stammdaten!$AX$19,VALUE(AuswDipl0[[#This Row],[BS_3_Erg]])))</f>
        <v>0</v>
      </c>
      <c r="CW24" s="254" t="str">
        <f ca="1">IF(AuswDipl0[[#This Row],[BS_3_x]]=0,"",INDEX(INDIRECT(CW$4),MATCH(AuswDipl0[[#This Row],[BS_3_x]],INDIRECT(CW$3),0)))</f>
        <v/>
      </c>
      <c r="CX24" s="254">
        <f ca="1">IFERROR(INDEX(INDIRECT($CX$4),MATCH(AuswDipl0[[#This Row],[BS_3_Med]],INDIRECT($CX$3),0)),6)</f>
        <v>6</v>
      </c>
      <c r="CY24" s="254" t="str">
        <f ca="1">VLOOKUP(AuswDipl0[[#This Row],[Nummer]],_Diplom,CY$6,FALSE)</f>
        <v>Zu wenige Noten</v>
      </c>
      <c r="CZ24" s="254">
        <f ca="1">VLOOKUP(AuswDipl0[[#This Row],[Nummer]],_Diplom,CZ$6,FALSE)</f>
        <v>0</v>
      </c>
      <c r="DA24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4" s="254">
        <f ca="1">IFERROR(INDEX(INDIRECT($DB$4),MATCH(AuswDipl0[[#This Row],[BS_4_Med]],INDIRECT($DB$3),0)),6)</f>
        <v>6</v>
      </c>
    </row>
    <row r="25" spans="1:106" ht="12" customHeight="1" x14ac:dyDescent="0.25">
      <c r="A25" s="254">
        <v>19</v>
      </c>
      <c r="B25" s="254" t="str">
        <f ca="1">VLOOKUP(AuswDipl0[[#This Row],[Nummer]],_Diplom,B$6,FALSE)</f>
        <v>Sprintdisziplinen nicht durchgeführt</v>
      </c>
      <c r="C25" s="254" t="str">
        <f ca="1">IFERROR(VLOOKUP(AuswDipl0[[#This Row],[Sprint0]],INDIRECT($A$2),1,0),$B$4)</f>
        <v>Sprintdisziplinen</v>
      </c>
      <c r="D25" s="254" t="str">
        <f ca="1">IF(AuswDipl0[[#This Row],[Sprint00]]=$B$4,MID(AuswDipl0[[#This Row],[Sprint0]],FIND(" ",AuswDipl0[[#This Row],[Sprint0]],1)+1,LEN(AuswDipl0[[#This Row],[Sprint0]])),"")</f>
        <v>nicht durchgeführt</v>
      </c>
      <c r="E25" s="254" t="str">
        <f ca="1">IF(AuswDipl0[[#This Row],[Sprint000]]=Stammdaten!$AY$27,AuswDipl0[[#This Row],[Sprint000]],"")</f>
        <v>nicht durchgeführt</v>
      </c>
      <c r="F25" s="254" t="str">
        <f ca="1">IF(VLOOKUP(AuswDipl0[[#This Row],[Nummer]],_Diplom,F$6,FALSE)="",""," "&amp;VLOOKUP(AuswDipl0[[#This Row],[Nummer]],_Diplom,F$6,FALSE))</f>
        <v/>
      </c>
      <c r="G25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5" s="254" t="str">
        <f ca="1">IF(VLOOKUP(AuswDipl0[[#This Row],[Nummer]],_Diplom,H$6,FALSE)&lt;&gt;"","("&amp;VLOOKUP(AuswDipl0[[#This Row],[Nummer]],_Diplom,H$6,FALSE)&amp;")","")</f>
        <v/>
      </c>
      <c r="I25" s="254" t="str">
        <f ca="1">VLOOKUP(AuswDipl0[[#This Row],[Nummer]],_Diplom,I$6,FALSE)</f>
        <v>Ausdauerdisziplinen nicht durchgeführt</v>
      </c>
      <c r="J25" s="254" t="str">
        <f ca="1">IFERROR(VLOOKUP(AuswDipl0[[#This Row],[Ausdauer0]],INDIRECT($A$2),1,0),$I$4)</f>
        <v>Ausdauerdisziplinen</v>
      </c>
      <c r="K25" s="254" t="str">
        <f ca="1">IF(AuswDipl0[[#This Row],[Ausdauer00]]=$I$4,MID(AuswDipl0[[#This Row],[Ausdauer0]],FIND(" ",AuswDipl0[[#This Row],[Ausdauer0]],1)+1,LEN(AuswDipl0[[#This Row],[Ausdauer0]])),"")</f>
        <v>nicht durchgeführt</v>
      </c>
      <c r="L25" s="254" t="str">
        <f ca="1">IF(AuswDipl0[[#This Row],[Ausdauer000]]=Stammdaten!$AY$27,AuswDipl0[[#This Row],[Ausdauer000]],"")</f>
        <v>nicht durchgeführt</v>
      </c>
      <c r="M25" s="254" t="str">
        <f ca="1">IF(VLOOKUP(AuswDipl0[[#This Row],[Nummer]],_Diplom,M$6,FALSE)="",""," "&amp;VLOOKUP(AuswDipl0[[#This Row],[Nummer]],_Diplom,M$6,FALSE))</f>
        <v/>
      </c>
      <c r="N25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5" s="254" t="str">
        <f ca="1">IF(VLOOKUP(AuswDipl0[[#This Row],[Nummer]],_Diplom,O$6,FALSE)&lt;&gt;"","("&amp;VLOOKUP(AuswDipl0[[#This Row],[Nummer]],_Diplom,O$6,FALSE)&amp;")","")</f>
        <v/>
      </c>
      <c r="P25" s="254" t="str">
        <f ca="1">VLOOKUP(AuswDipl0[[#This Row],[Nummer]],_Diplom,P$6,FALSE)</f>
        <v>Sprungdisziplinen nicht durchgeführt</v>
      </c>
      <c r="Q25" s="254" t="str">
        <f ca="1">IFERROR(VLOOKUP(AuswDipl0[[#This Row],[Sprung0]],INDIRECT($A$2),1,0),$P$4)</f>
        <v>Sprungdisziplinen</v>
      </c>
      <c r="R25" s="254" t="str">
        <f ca="1">IF(AuswDipl0[[#This Row],[Sprung00]]=$P$4,MID(AuswDipl0[[#This Row],[Sprung0]],FIND(" ",AuswDipl0[[#This Row],[Sprung0]],1)+1,LEN(AuswDipl0[[#This Row],[Sprung0]])),"")</f>
        <v>nicht durchgeführt</v>
      </c>
      <c r="S25" s="254" t="str">
        <f ca="1">IF(AuswDipl0[[#This Row],[Sprung000]]=Stammdaten!$AY$27,AuswDipl0[[#This Row],[Sprung000]],"")</f>
        <v>nicht durchgeführt</v>
      </c>
      <c r="T25" s="254" t="str">
        <f ca="1">IF(VLOOKUP(AuswDipl0[[#This Row],[Nummer]],_Diplom,T$6,FALSE)="",""," "&amp;VLOOKUP(AuswDipl0[[#This Row],[Nummer]],_Diplom,T$6,FALSE))</f>
        <v/>
      </c>
      <c r="U25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5" s="254" t="str">
        <f ca="1">IF(VLOOKUP(AuswDipl0[[#This Row],[Nummer]],_Diplom,V$6,FALSE)&lt;&gt;"","("&amp;VLOOKUP(AuswDipl0[[#This Row],[Nummer]],_Diplom,V$6,FALSE)&amp;")","")</f>
        <v/>
      </c>
      <c r="W25" s="254" t="str">
        <f ca="1">VLOOKUP(AuswDipl0[[#This Row],[Nummer]],_Diplom,W$6,FALSE)</f>
        <v>Wurfdisziplinen nicht durchgeführt</v>
      </c>
      <c r="X25" s="254" t="str">
        <f ca="1">IFERROR(VLOOKUP(AuswDipl0[[#This Row],[Wurf0]],INDIRECT($A$2),1,0),$W$4)</f>
        <v>Wurfdisziplinen</v>
      </c>
      <c r="Y25" s="254" t="str">
        <f ca="1">IF(AuswDipl0[[#This Row],[Wurf00]]=$W$4,MID(AuswDipl0[[#This Row],[Wurf0]],FIND(" ",AuswDipl0[[#This Row],[Wurf0]],1)+1,LEN(AuswDipl0[[#This Row],[Wurf0]])),"")</f>
        <v>nicht durchgeführt</v>
      </c>
      <c r="Z25" s="254" t="str">
        <f ca="1">IF(AuswDipl0[[#This Row],[Wurf000]]=Stammdaten!$AY$27,AuswDipl0[[#This Row],[Wurf000]],"")</f>
        <v>nicht durchgeführt</v>
      </c>
      <c r="AA25" s="254" t="str">
        <f ca="1">IF(VLOOKUP(AuswDipl0[[#This Row],[Nummer]],_Diplom,AA$6,FALSE)="",""," "&amp;VLOOKUP(AuswDipl0[[#This Row],[Nummer]],_Diplom,AA$6,FALSE))</f>
        <v/>
      </c>
      <c r="AB25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5" s="254" t="str">
        <f ca="1">IF(VLOOKUP(AuswDipl0[[#This Row],[Nummer]],_Diplom,AC$6,FALSE)&lt;&gt;"","("&amp;VLOOKUP(AuswDipl0[[#This Row],[Nummer]],_Diplom,AC$6,FALSE)&amp;")","")</f>
        <v/>
      </c>
      <c r="AD25" s="254" t="str">
        <f ca="1">IF(AuswDipl0[[#This Row],[ErGe_Höchst]]&lt;&gt;"",VLOOKUP(AuswDipl0[[#This Row],[Nummer]],_Diplom,$AD$6,FALSE),VLOOKUP(AuswDipl0[[#This Row],[Nummer]],_Diplom,$AD$6,FALSE))</f>
        <v>Erstes Gerät</v>
      </c>
      <c r="AE25" s="254" t="str">
        <f ca="1">VLOOKUP(AuswDipl0[[#This Row],[Nummer]],_Diplom,$AE$6,FALSE)</f>
        <v>nicht durchgeführt</v>
      </c>
      <c r="AF25" s="254" t="str">
        <f ca="1">IF(AuswDipl0[[#This Row],[ErGe_Höchst]]&lt;&gt;"",AuswDipl0[[#This Row],[ErGe_Höchst]],AuswDipl0[[#This Row],[ErGe_Txt2]])</f>
        <v>nicht durchgeführt</v>
      </c>
      <c r="AG25" s="254" t="str">
        <f ca="1">VLOOKUP(AuswDipl0[[#This Row],[Nummer]],_Diplom,$AG$6,FALSE)</f>
        <v/>
      </c>
      <c r="AH25" s="254" t="str">
        <f>VLOOKUP(AuswDipl0[[#This Row],[Nummer]],_Diplom,$AH$6,FALSE)</f>
        <v/>
      </c>
      <c r="AI25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5" s="254" t="str">
        <f ca="1">VLOOKUP(AuswDipl0[[#This Row],[Nummer]],_Diplom,$AJ$6,FALSE)</f>
        <v/>
      </c>
      <c r="AK25" s="254" t="str">
        <f ca="1">IF(AuswDipl0[[#This Row],[ZwGe_Höchst]]&lt;&gt;"",VLOOKUP(AuswDipl0[[#This Row],[Nummer]],_Diplom,$AK$6,FALSE),VLOOKUP(AuswDipl0[[#This Row],[Nummer]],_Diplom,$AK$6,FALSE))</f>
        <v>Zweites Gerät</v>
      </c>
      <c r="AL25" s="254" t="str">
        <f ca="1">VLOOKUP(AuswDipl0[[#This Row],[Nummer]],_Diplom,$AL$6,FALSE)</f>
        <v>nicht durchgeführt</v>
      </c>
      <c r="AM25" s="254" t="str">
        <f ca="1">IF(AuswDipl0[[#This Row],[ZwGe_Höchst]]&lt;&gt;"",AuswDipl0[[#This Row],[ZwGe_Höchst]],AuswDipl0[[#This Row],[ZwGe_Txt2]])</f>
        <v>nicht durchgeführt</v>
      </c>
      <c r="AN25" s="254" t="str">
        <f ca="1">VLOOKUP(AuswDipl0[[#This Row],[Nummer]],_Diplom,$AN$6,FALSE)</f>
        <v/>
      </c>
      <c r="AO25" s="254" t="str">
        <f>VLOOKUP(AuswDipl0[[#This Row],[Nummer]],_Diplom,$AO$6,FALSE)</f>
        <v/>
      </c>
      <c r="AP25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5" s="254" t="str">
        <f ca="1">VLOOKUP(AuswDipl0[[#This Row],[Nummer]],_Diplom,$AQ$6,FALSE)</f>
        <v/>
      </c>
      <c r="AR25" s="254" t="str">
        <f ca="1">IF(AuswDipl0[[#This Row],[DrGe_Höchst]]&lt;&gt;"",VLOOKUP(AuswDipl0[[#This Row],[Nummer]],_Diplom,$AR$6,FALSE),VLOOKUP(AuswDipl0[[#This Row],[Nummer]],_Diplom,$AR$6,FALSE))</f>
        <v>Drittes Gerät</v>
      </c>
      <c r="AS25" s="254" t="str">
        <f ca="1">VLOOKUP(AuswDipl0[[#This Row],[Nummer]],_Diplom,$AS$6,FALSE)</f>
        <v>nicht durchgeführt</v>
      </c>
      <c r="AT25" s="254" t="str">
        <f ca="1">IF(AuswDipl0[[#This Row],[DrGe_Höchst]]&lt;&gt;"",AuswDipl0[[#This Row],[DrGe_Höchst]],AuswDipl0[[#This Row],[DrGe_Txt2]])</f>
        <v>nicht durchgeführt</v>
      </c>
      <c r="AU25" s="254" t="str">
        <f ca="1">VLOOKUP(AuswDipl0[[#This Row],[Nummer]],_Diplom,$AU$6,FALSE)</f>
        <v/>
      </c>
      <c r="AV25" s="254" t="str">
        <f>VLOOKUP(AuswDipl0[[#This Row],[Nummer]],_Diplom,$AV$6,FALSE)</f>
        <v/>
      </c>
      <c r="AW25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5" s="254" t="str">
        <f ca="1">VLOOKUP(AuswDipl0[[#This Row],[Nummer]],_Diplom,$AX$6,FALSE)</f>
        <v/>
      </c>
      <c r="AY25" s="254" t="str">
        <f t="shared" si="0"/>
        <v>Parkour</v>
      </c>
      <c r="AZ25" s="254">
        <f ca="1">INDEX(INDIRECT($AZ$2),AuswDipl0[[#This Row],[Nummer]])</f>
        <v>0</v>
      </c>
      <c r="BA25" s="254" t="str">
        <f ca="1">IFERROR(IF(AuswDipl0[[#This Row],[ParkourPkte0]]&gt;0," "&amp;INDEX(INDIRECT($BA$2),MATCH($AY$1,INDIRECT($A$2),0)),""),"")</f>
        <v/>
      </c>
      <c r="BB25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5" s="254" t="str">
        <f ca="1">IF(AuswDipl0[[#This Row],[ParkourMax]]&lt;&gt;"",AuswDipl0[[#This Row],[ParkourMax]],Stammdaten!$AY$27)</f>
        <v>nicht durchgeführt</v>
      </c>
      <c r="BD25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5" s="254" t="str">
        <f ca="1">IF(AuswDipl0[[#This Row],[ParkourPkte1]]="","",VLOOKUP(AuswDipl0[[#This Row],[Nummer]],_Diplom,BE$6,FALSE))</f>
        <v/>
      </c>
      <c r="BF25" s="254" t="str">
        <f ca="1">VLOOKUP(AuswDipl0[[#This Row],[Nummer]],_Diplom,BF$6,FALSE)</f>
        <v>Darstellen und Tanzen</v>
      </c>
      <c r="BG25" s="254" t="str">
        <f ca="1">VLOOKUP(AuswDipl0[[#This Row],[Nummer]],_Diplom,BG$6,FALSE)</f>
        <v>nicht durchgeführt</v>
      </c>
      <c r="BH25" s="254" t="str">
        <f ca="1">IF(AuswDipl0[[#This Row],[BS_3_Max]]&lt;&gt;"",AuswDipl0[[#This Row],[BS_3_Max]],AuswDipl0[[#This Row],[BS_3_Txt1]])</f>
        <v>nicht durchgeführt</v>
      </c>
      <c r="BI25" s="254" t="str">
        <f ca="1">IF(VLOOKUP(AuswDipl0[[#This Row],[Nummer]],_Diplom,BI$6,FALSE)="","",VLOOKUP(AuswDipl0[[#This Row],[Nummer]],_Diplom,BI$6,FALSE))</f>
        <v/>
      </c>
      <c r="BJ25" s="254" t="str">
        <f ca="1">IF(AuswDipl0[[#This Row],[BS_3_Txt1]]=Stammdaten!$AX$19,AuswDipl0[[#This Row],[BS_3_Txt1]],AuswDipl0[[#This Row],[BS_3_Pkte0]]&amp;AuswDipl0[[#This Row],[BS_3_Mass]])</f>
        <v/>
      </c>
      <c r="BK25" s="254" t="str">
        <f ca="1">IFERROR(" "&amp;INDEX(INDIRECT($BK$2),MATCH(AuswDipl0[[#This Row],[BS_3_Txt0]],INDIRECT($A$2),0)),"")</f>
        <v/>
      </c>
      <c r="BL25" s="254" t="str">
        <f ca="1">VLOOKUP(AuswDipl0[[#This Row],[Nummer]],_Diplom,BL$6,FALSE)</f>
        <v/>
      </c>
      <c r="BM25" s="254" t="str">
        <f ca="1">IF(AuswDipl0[[#This Row],[ErSp_Höchst]]&lt;&gt;"",VLOOKUP(AuswDipl0[[#This Row],[Nummer]],_Diplom,$BM$6,FALSE),VLOOKUP(AuswDipl0[[#This Row],[Nummer]],_Diplom,$BM$6,FALSE))</f>
        <v>Erste Spielsportart</v>
      </c>
      <c r="BN25" s="254" t="str">
        <f ca="1">VLOOKUP(AuswDipl0[[#This Row],[Nummer]],_Diplom,$BN$6,FALSE)</f>
        <v>nicht durchgeführt</v>
      </c>
      <c r="BO25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5" s="254" t="str">
        <f ca="1">VLOOKUP(AuswDipl0[[#This Row],[Nummer]],_Diplom,$BP$6,FALSE)</f>
        <v/>
      </c>
      <c r="BQ25" s="254" t="str">
        <f ca="1">VLOOKUP(AuswDipl0[[#This Row],[Nummer]],_Diplom,$BQ$6,FALSE)</f>
        <v/>
      </c>
      <c r="BR25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5" s="254" t="str">
        <f ca="1">VLOOKUP(AuswDipl0[[#This Row],[Nummer]],_Diplom,$BS$6,FALSE)</f>
        <v/>
      </c>
      <c r="BT25" s="254" t="str">
        <f ca="1">VLOOKUP(AuswDipl0[[#This Row],[Nummer]],_Diplom,$BT$6,FALSE)</f>
        <v/>
      </c>
      <c r="BU25" s="254" t="str">
        <f ca="1">IF(AuswDipl0[[#This Row],[ZwSp_Höchst]]&lt;&gt;"",VLOOKUP(AuswDipl0[[#This Row],[Nummer]],_Diplom,$BU$6,FALSE),VLOOKUP(AuswDipl0[[#This Row],[Nummer]],_Diplom,$BU$6,FALSE))</f>
        <v>Zweite Spielsportart</v>
      </c>
      <c r="BV25" s="254" t="str">
        <f ca="1">VLOOKUP(AuswDipl0[[#This Row],[Nummer]],_Diplom,$BV$6,FALSE)</f>
        <v>nicht durchgeführt</v>
      </c>
      <c r="BW25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5" s="254" t="str">
        <f ca="1">VLOOKUP(AuswDipl0[[#This Row],[Nummer]],_Diplom,$BX$6,FALSE)</f>
        <v/>
      </c>
      <c r="BY25" s="254" t="str">
        <f ca="1">VLOOKUP(AuswDipl0[[#This Row],[Nummer]],_Diplom,$BY$6,FALSE)</f>
        <v/>
      </c>
      <c r="BZ25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5" s="254" t="str">
        <f ca="1">VLOOKUP(AuswDipl0[[#This Row],[Nummer]],_Diplom,$CA$6,FALSE)</f>
        <v/>
      </c>
      <c r="CB25" s="254" t="str">
        <f ca="1">VLOOKUP(AuswDipl0[[#This Row],[Nummer]],_Diplom,$CB$6,FALSE)</f>
        <v/>
      </c>
      <c r="CC25" s="254" t="str">
        <f ca="1">IF(AuswDipl0[[#This Row],[DrSp_Höchst]]&lt;&gt;"",VLOOKUP(AuswDipl0[[#This Row],[Nummer]],_Diplom,$CC$6,FALSE),VLOOKUP(AuswDipl0[[#This Row],[Nummer]],_Diplom,$CC$6,FALSE))</f>
        <v>Dritte Spielsportart</v>
      </c>
      <c r="CD25" s="254" t="str">
        <f ca="1">VLOOKUP(AuswDipl0[[#This Row],[Nummer]],_Diplom,$CD$6,FALSE)</f>
        <v>nicht durchgeführt</v>
      </c>
      <c r="CE25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5" s="254" t="str">
        <f ca="1">VLOOKUP(AuswDipl0[[#This Row],[Nummer]],_Diplom,$CF$6,FALSE)</f>
        <v/>
      </c>
      <c r="CG25" s="254" t="str">
        <f ca="1">VLOOKUP(AuswDipl0[[#This Row],[Nummer]],_Diplom,$CG$6,FALSE)</f>
        <v/>
      </c>
      <c r="CH25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5" s="254" t="str">
        <f ca="1">VLOOKUP(AuswDipl0[[#This Row],[Nummer]],_Diplom,$CI$6,FALSE)</f>
        <v/>
      </c>
      <c r="CJ25" s="254" t="str">
        <f ca="1">VLOOKUP(AuswDipl0[[#This Row],[Nummer]],_Diplom,$CJ$6,FALSE)</f>
        <v/>
      </c>
      <c r="CK25" s="254" t="str">
        <f ca="1">VLOOKUP(AuswDipl0[[#This Row],[Nummer]],_Diplom,CK$6,FALSE)</f>
        <v>Zu wenige Noten</v>
      </c>
      <c r="CL25" s="254">
        <f ca="1">VLOOKUP(AuswDipl0[[#This Row],[Nummer]],_Diplom,CL$6,FALSE)</f>
        <v>0</v>
      </c>
      <c r="CM25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5" s="254">
        <f ca="1">IFERROR(INDEX(INDIRECT($CN$4),MATCH(AuswDipl0[[#This Row],[BS_1_Med]],INDIRECT($CN$3),0)),6)</f>
        <v>6</v>
      </c>
      <c r="CO25" s="254" t="str">
        <f ca="1">VLOOKUP(AuswDipl0[[#This Row],[Nummer]],_Diplom,CO$6,FALSE)</f>
        <v>Zu wenige Noten</v>
      </c>
      <c r="CP25" s="254">
        <f>VLOOKUP(AuswDipl0[[#This Row],[Nummer]],_Diplom,CP$6,FALSE)</f>
        <v>0</v>
      </c>
      <c r="CQ25" s="254">
        <f ca="1">VLOOKUP(AuswDipl0[[#This Row],[Nummer]],_Diplom,CQ$6,FALSE)</f>
        <v>0</v>
      </c>
      <c r="CR25" s="254">
        <f ca="1">IF(AND(AuswDipl0[[#This Row],[BS_2_AnzGer]]&gt;=$CP$2,AND(ISNUMBER(AuswDipl0[[#This Row],[BS_2_Park]]),AuswDipl0[[#This Row],[BS_2_Park]]&gt;0)),1,0)</f>
        <v>0</v>
      </c>
      <c r="CS25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5" s="254">
        <f ca="1">IFERROR(INDEX(INDIRECT($CT$4),MATCH(AuswDipl0[[#This Row],[BS_2_Med]],INDIRECT($CT$3),0)),6)</f>
        <v>6</v>
      </c>
      <c r="CU25" s="254" t="str">
        <f ca="1">VLOOKUP(AuswDipl0[[#This Row],[Nummer]],_Diplom,CU$6,FALSE)</f>
        <v>Zu wenige Noten</v>
      </c>
      <c r="CV25" s="254">
        <f ca="1">IF(AuswDipl0[[#This Row],[BS_3_Erg]]=INDEX(StdFehler[StdFehler],4),0,IF(AuswDipl0[[#This Row],[BS_3_Erg]]=Stammdaten!$AX$19,Stammdaten!$AX$19,VALUE(AuswDipl0[[#This Row],[BS_3_Erg]])))</f>
        <v>0</v>
      </c>
      <c r="CW25" s="254" t="str">
        <f ca="1">IF(AuswDipl0[[#This Row],[BS_3_x]]=0,"",INDEX(INDIRECT(CW$4),MATCH(AuswDipl0[[#This Row],[BS_3_x]],INDIRECT(CW$3),0)))</f>
        <v/>
      </c>
      <c r="CX25" s="254">
        <f ca="1">IFERROR(INDEX(INDIRECT($CX$4),MATCH(AuswDipl0[[#This Row],[BS_3_Med]],INDIRECT($CX$3),0)),6)</f>
        <v>6</v>
      </c>
      <c r="CY25" s="254" t="str">
        <f ca="1">VLOOKUP(AuswDipl0[[#This Row],[Nummer]],_Diplom,CY$6,FALSE)</f>
        <v>Zu wenige Noten</v>
      </c>
      <c r="CZ25" s="254">
        <f ca="1">VLOOKUP(AuswDipl0[[#This Row],[Nummer]],_Diplom,CZ$6,FALSE)</f>
        <v>0</v>
      </c>
      <c r="DA25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5" s="254">
        <f ca="1">IFERROR(INDEX(INDIRECT($DB$4),MATCH(AuswDipl0[[#This Row],[BS_4_Med]],INDIRECT($DB$3),0)),6)</f>
        <v>6</v>
      </c>
    </row>
    <row r="26" spans="1:106" ht="12" customHeight="1" x14ac:dyDescent="0.25">
      <c r="A26" s="254">
        <v>20</v>
      </c>
      <c r="B26" s="254" t="str">
        <f ca="1">VLOOKUP(AuswDipl0[[#This Row],[Nummer]],_Diplom,B$6,FALSE)</f>
        <v>Sprintdisziplinen nicht durchgeführt</v>
      </c>
      <c r="C26" s="254" t="str">
        <f ca="1">IFERROR(VLOOKUP(AuswDipl0[[#This Row],[Sprint0]],INDIRECT($A$2),1,0),$B$4)</f>
        <v>Sprintdisziplinen</v>
      </c>
      <c r="D26" s="254" t="str">
        <f ca="1">IF(AuswDipl0[[#This Row],[Sprint00]]=$B$4,MID(AuswDipl0[[#This Row],[Sprint0]],FIND(" ",AuswDipl0[[#This Row],[Sprint0]],1)+1,LEN(AuswDipl0[[#This Row],[Sprint0]])),"")</f>
        <v>nicht durchgeführt</v>
      </c>
      <c r="E26" s="254" t="str">
        <f ca="1">IF(AuswDipl0[[#This Row],[Sprint000]]=Stammdaten!$AY$27,AuswDipl0[[#This Row],[Sprint000]],"")</f>
        <v>nicht durchgeführt</v>
      </c>
      <c r="F26" s="254" t="str">
        <f ca="1">IF(VLOOKUP(AuswDipl0[[#This Row],[Nummer]],_Diplom,F$6,FALSE)="",""," "&amp;VLOOKUP(AuswDipl0[[#This Row],[Nummer]],_Diplom,F$6,FALSE))</f>
        <v/>
      </c>
      <c r="G26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6" s="254" t="str">
        <f ca="1">IF(VLOOKUP(AuswDipl0[[#This Row],[Nummer]],_Diplom,H$6,FALSE)&lt;&gt;"","("&amp;VLOOKUP(AuswDipl0[[#This Row],[Nummer]],_Diplom,H$6,FALSE)&amp;")","")</f>
        <v/>
      </c>
      <c r="I26" s="254" t="str">
        <f ca="1">VLOOKUP(AuswDipl0[[#This Row],[Nummer]],_Diplom,I$6,FALSE)</f>
        <v>Ausdauerdisziplinen nicht durchgeführt</v>
      </c>
      <c r="J26" s="254" t="str">
        <f ca="1">IFERROR(VLOOKUP(AuswDipl0[[#This Row],[Ausdauer0]],INDIRECT($A$2),1,0),$I$4)</f>
        <v>Ausdauerdisziplinen</v>
      </c>
      <c r="K26" s="254" t="str">
        <f ca="1">IF(AuswDipl0[[#This Row],[Ausdauer00]]=$I$4,MID(AuswDipl0[[#This Row],[Ausdauer0]],FIND(" ",AuswDipl0[[#This Row],[Ausdauer0]],1)+1,LEN(AuswDipl0[[#This Row],[Ausdauer0]])),"")</f>
        <v>nicht durchgeführt</v>
      </c>
      <c r="L26" s="254" t="str">
        <f ca="1">IF(AuswDipl0[[#This Row],[Ausdauer000]]=Stammdaten!$AY$27,AuswDipl0[[#This Row],[Ausdauer000]],"")</f>
        <v>nicht durchgeführt</v>
      </c>
      <c r="M26" s="254" t="str">
        <f ca="1">IF(VLOOKUP(AuswDipl0[[#This Row],[Nummer]],_Diplom,M$6,FALSE)="",""," "&amp;VLOOKUP(AuswDipl0[[#This Row],[Nummer]],_Diplom,M$6,FALSE))</f>
        <v/>
      </c>
      <c r="N26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6" s="254" t="str">
        <f ca="1">IF(VLOOKUP(AuswDipl0[[#This Row],[Nummer]],_Diplom,O$6,FALSE)&lt;&gt;"","("&amp;VLOOKUP(AuswDipl0[[#This Row],[Nummer]],_Diplom,O$6,FALSE)&amp;")","")</f>
        <v/>
      </c>
      <c r="P26" s="254" t="str">
        <f ca="1">VLOOKUP(AuswDipl0[[#This Row],[Nummer]],_Diplom,P$6,FALSE)</f>
        <v>Sprungdisziplinen nicht durchgeführt</v>
      </c>
      <c r="Q26" s="254" t="str">
        <f ca="1">IFERROR(VLOOKUP(AuswDipl0[[#This Row],[Sprung0]],INDIRECT($A$2),1,0),$P$4)</f>
        <v>Sprungdisziplinen</v>
      </c>
      <c r="R26" s="254" t="str">
        <f ca="1">IF(AuswDipl0[[#This Row],[Sprung00]]=$P$4,MID(AuswDipl0[[#This Row],[Sprung0]],FIND(" ",AuswDipl0[[#This Row],[Sprung0]],1)+1,LEN(AuswDipl0[[#This Row],[Sprung0]])),"")</f>
        <v>nicht durchgeführt</v>
      </c>
      <c r="S26" s="254" t="str">
        <f ca="1">IF(AuswDipl0[[#This Row],[Sprung000]]=Stammdaten!$AY$27,AuswDipl0[[#This Row],[Sprung000]],"")</f>
        <v>nicht durchgeführt</v>
      </c>
      <c r="T26" s="254" t="str">
        <f ca="1">IF(VLOOKUP(AuswDipl0[[#This Row],[Nummer]],_Diplom,T$6,FALSE)="",""," "&amp;VLOOKUP(AuswDipl0[[#This Row],[Nummer]],_Diplom,T$6,FALSE))</f>
        <v/>
      </c>
      <c r="U26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6" s="254" t="str">
        <f ca="1">IF(VLOOKUP(AuswDipl0[[#This Row],[Nummer]],_Diplom,V$6,FALSE)&lt;&gt;"","("&amp;VLOOKUP(AuswDipl0[[#This Row],[Nummer]],_Diplom,V$6,FALSE)&amp;")","")</f>
        <v/>
      </c>
      <c r="W26" s="254" t="str">
        <f ca="1">VLOOKUP(AuswDipl0[[#This Row],[Nummer]],_Diplom,W$6,FALSE)</f>
        <v>Wurfdisziplinen nicht durchgeführt</v>
      </c>
      <c r="X26" s="254" t="str">
        <f ca="1">IFERROR(VLOOKUP(AuswDipl0[[#This Row],[Wurf0]],INDIRECT($A$2),1,0),$W$4)</f>
        <v>Wurfdisziplinen</v>
      </c>
      <c r="Y26" s="254" t="str">
        <f ca="1">IF(AuswDipl0[[#This Row],[Wurf00]]=$W$4,MID(AuswDipl0[[#This Row],[Wurf0]],FIND(" ",AuswDipl0[[#This Row],[Wurf0]],1)+1,LEN(AuswDipl0[[#This Row],[Wurf0]])),"")</f>
        <v>nicht durchgeführt</v>
      </c>
      <c r="Z26" s="254" t="str">
        <f ca="1">IF(AuswDipl0[[#This Row],[Wurf000]]=Stammdaten!$AY$27,AuswDipl0[[#This Row],[Wurf000]],"")</f>
        <v>nicht durchgeführt</v>
      </c>
      <c r="AA26" s="254" t="str">
        <f ca="1">IF(VLOOKUP(AuswDipl0[[#This Row],[Nummer]],_Diplom,AA$6,FALSE)="",""," "&amp;VLOOKUP(AuswDipl0[[#This Row],[Nummer]],_Diplom,AA$6,FALSE))</f>
        <v/>
      </c>
      <c r="AB26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6" s="254" t="str">
        <f ca="1">IF(VLOOKUP(AuswDipl0[[#This Row],[Nummer]],_Diplom,AC$6,FALSE)&lt;&gt;"","("&amp;VLOOKUP(AuswDipl0[[#This Row],[Nummer]],_Diplom,AC$6,FALSE)&amp;")","")</f>
        <v/>
      </c>
      <c r="AD26" s="254" t="str">
        <f ca="1">IF(AuswDipl0[[#This Row],[ErGe_Höchst]]&lt;&gt;"",VLOOKUP(AuswDipl0[[#This Row],[Nummer]],_Diplom,$AD$6,FALSE),VLOOKUP(AuswDipl0[[#This Row],[Nummer]],_Diplom,$AD$6,FALSE))</f>
        <v>Erstes Gerät</v>
      </c>
      <c r="AE26" s="254" t="str">
        <f ca="1">VLOOKUP(AuswDipl0[[#This Row],[Nummer]],_Diplom,$AE$6,FALSE)</f>
        <v>nicht durchgeführt</v>
      </c>
      <c r="AF26" s="254" t="str">
        <f ca="1">IF(AuswDipl0[[#This Row],[ErGe_Höchst]]&lt;&gt;"",AuswDipl0[[#This Row],[ErGe_Höchst]],AuswDipl0[[#This Row],[ErGe_Txt2]])</f>
        <v>nicht durchgeführt</v>
      </c>
      <c r="AG26" s="254" t="str">
        <f ca="1">VLOOKUP(AuswDipl0[[#This Row],[Nummer]],_Diplom,$AG$6,FALSE)</f>
        <v/>
      </c>
      <c r="AH26" s="254" t="str">
        <f>VLOOKUP(AuswDipl0[[#This Row],[Nummer]],_Diplom,$AH$6,FALSE)</f>
        <v/>
      </c>
      <c r="AI26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6" s="254" t="str">
        <f ca="1">VLOOKUP(AuswDipl0[[#This Row],[Nummer]],_Diplom,$AJ$6,FALSE)</f>
        <v/>
      </c>
      <c r="AK26" s="254" t="str">
        <f ca="1">IF(AuswDipl0[[#This Row],[ZwGe_Höchst]]&lt;&gt;"",VLOOKUP(AuswDipl0[[#This Row],[Nummer]],_Diplom,$AK$6,FALSE),VLOOKUP(AuswDipl0[[#This Row],[Nummer]],_Diplom,$AK$6,FALSE))</f>
        <v>Zweites Gerät</v>
      </c>
      <c r="AL26" s="254" t="str">
        <f ca="1">VLOOKUP(AuswDipl0[[#This Row],[Nummer]],_Diplom,$AL$6,FALSE)</f>
        <v>nicht durchgeführt</v>
      </c>
      <c r="AM26" s="254" t="str">
        <f ca="1">IF(AuswDipl0[[#This Row],[ZwGe_Höchst]]&lt;&gt;"",AuswDipl0[[#This Row],[ZwGe_Höchst]],AuswDipl0[[#This Row],[ZwGe_Txt2]])</f>
        <v>nicht durchgeführt</v>
      </c>
      <c r="AN26" s="254" t="str">
        <f ca="1">VLOOKUP(AuswDipl0[[#This Row],[Nummer]],_Diplom,$AN$6,FALSE)</f>
        <v/>
      </c>
      <c r="AO26" s="254" t="str">
        <f>VLOOKUP(AuswDipl0[[#This Row],[Nummer]],_Diplom,$AO$6,FALSE)</f>
        <v/>
      </c>
      <c r="AP26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6" s="254" t="str">
        <f ca="1">VLOOKUP(AuswDipl0[[#This Row],[Nummer]],_Diplom,$AQ$6,FALSE)</f>
        <v/>
      </c>
      <c r="AR26" s="254" t="str">
        <f ca="1">IF(AuswDipl0[[#This Row],[DrGe_Höchst]]&lt;&gt;"",VLOOKUP(AuswDipl0[[#This Row],[Nummer]],_Diplom,$AR$6,FALSE),VLOOKUP(AuswDipl0[[#This Row],[Nummer]],_Diplom,$AR$6,FALSE))</f>
        <v>Drittes Gerät</v>
      </c>
      <c r="AS26" s="254" t="str">
        <f ca="1">VLOOKUP(AuswDipl0[[#This Row],[Nummer]],_Diplom,$AS$6,FALSE)</f>
        <v>nicht durchgeführt</v>
      </c>
      <c r="AT26" s="254" t="str">
        <f ca="1">IF(AuswDipl0[[#This Row],[DrGe_Höchst]]&lt;&gt;"",AuswDipl0[[#This Row],[DrGe_Höchst]],AuswDipl0[[#This Row],[DrGe_Txt2]])</f>
        <v>nicht durchgeführt</v>
      </c>
      <c r="AU26" s="254" t="str">
        <f ca="1">VLOOKUP(AuswDipl0[[#This Row],[Nummer]],_Diplom,$AU$6,FALSE)</f>
        <v/>
      </c>
      <c r="AV26" s="254" t="str">
        <f>VLOOKUP(AuswDipl0[[#This Row],[Nummer]],_Diplom,$AV$6,FALSE)</f>
        <v/>
      </c>
      <c r="AW26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6" s="254" t="str">
        <f ca="1">VLOOKUP(AuswDipl0[[#This Row],[Nummer]],_Diplom,$AX$6,FALSE)</f>
        <v/>
      </c>
      <c r="AY26" s="254" t="str">
        <f t="shared" si="0"/>
        <v>Parkour</v>
      </c>
      <c r="AZ26" s="254">
        <f ca="1">INDEX(INDIRECT($AZ$2),AuswDipl0[[#This Row],[Nummer]])</f>
        <v>0</v>
      </c>
      <c r="BA26" s="254" t="str">
        <f ca="1">IFERROR(IF(AuswDipl0[[#This Row],[ParkourPkte0]]&gt;0," "&amp;INDEX(INDIRECT($BA$2),MATCH($AY$1,INDIRECT($A$2),0)),""),"")</f>
        <v/>
      </c>
      <c r="BB26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6" s="254" t="str">
        <f ca="1">IF(AuswDipl0[[#This Row],[ParkourMax]]&lt;&gt;"",AuswDipl0[[#This Row],[ParkourMax]],Stammdaten!$AY$27)</f>
        <v>nicht durchgeführt</v>
      </c>
      <c r="BD26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6" s="254" t="str">
        <f ca="1">IF(AuswDipl0[[#This Row],[ParkourPkte1]]="","",VLOOKUP(AuswDipl0[[#This Row],[Nummer]],_Diplom,BE$6,FALSE))</f>
        <v/>
      </c>
      <c r="BF26" s="254" t="str">
        <f ca="1">VLOOKUP(AuswDipl0[[#This Row],[Nummer]],_Diplom,BF$6,FALSE)</f>
        <v>Darstellen und Tanzen</v>
      </c>
      <c r="BG26" s="254" t="str">
        <f ca="1">VLOOKUP(AuswDipl0[[#This Row],[Nummer]],_Diplom,BG$6,FALSE)</f>
        <v>nicht durchgeführt</v>
      </c>
      <c r="BH26" s="254" t="str">
        <f ca="1">IF(AuswDipl0[[#This Row],[BS_3_Max]]&lt;&gt;"",AuswDipl0[[#This Row],[BS_3_Max]],AuswDipl0[[#This Row],[BS_3_Txt1]])</f>
        <v>nicht durchgeführt</v>
      </c>
      <c r="BI26" s="254" t="str">
        <f ca="1">IF(VLOOKUP(AuswDipl0[[#This Row],[Nummer]],_Diplom,BI$6,FALSE)="","",VLOOKUP(AuswDipl0[[#This Row],[Nummer]],_Diplom,BI$6,FALSE))</f>
        <v/>
      </c>
      <c r="BJ26" s="254" t="str">
        <f ca="1">IF(AuswDipl0[[#This Row],[BS_3_Txt1]]=Stammdaten!$AX$19,AuswDipl0[[#This Row],[BS_3_Txt1]],AuswDipl0[[#This Row],[BS_3_Pkte0]]&amp;AuswDipl0[[#This Row],[BS_3_Mass]])</f>
        <v/>
      </c>
      <c r="BK26" s="254" t="str">
        <f ca="1">IFERROR(" "&amp;INDEX(INDIRECT($BK$2),MATCH(AuswDipl0[[#This Row],[BS_3_Txt0]],INDIRECT($A$2),0)),"")</f>
        <v/>
      </c>
      <c r="BL26" s="254" t="str">
        <f ca="1">VLOOKUP(AuswDipl0[[#This Row],[Nummer]],_Diplom,BL$6,FALSE)</f>
        <v/>
      </c>
      <c r="BM26" s="254" t="str">
        <f ca="1">IF(AuswDipl0[[#This Row],[ErSp_Höchst]]&lt;&gt;"",VLOOKUP(AuswDipl0[[#This Row],[Nummer]],_Diplom,$BM$6,FALSE),VLOOKUP(AuswDipl0[[#This Row],[Nummer]],_Diplom,$BM$6,FALSE))</f>
        <v>Erste Spielsportart</v>
      </c>
      <c r="BN26" s="254" t="str">
        <f ca="1">VLOOKUP(AuswDipl0[[#This Row],[Nummer]],_Diplom,$BN$6,FALSE)</f>
        <v>nicht durchgeführt</v>
      </c>
      <c r="BO26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6" s="254" t="str">
        <f ca="1">VLOOKUP(AuswDipl0[[#This Row],[Nummer]],_Diplom,$BP$6,FALSE)</f>
        <v/>
      </c>
      <c r="BQ26" s="254" t="str">
        <f ca="1">VLOOKUP(AuswDipl0[[#This Row],[Nummer]],_Diplom,$BQ$6,FALSE)</f>
        <v/>
      </c>
      <c r="BR26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6" s="254" t="str">
        <f ca="1">VLOOKUP(AuswDipl0[[#This Row],[Nummer]],_Diplom,$BS$6,FALSE)</f>
        <v/>
      </c>
      <c r="BT26" s="254" t="str">
        <f ca="1">VLOOKUP(AuswDipl0[[#This Row],[Nummer]],_Diplom,$BT$6,FALSE)</f>
        <v/>
      </c>
      <c r="BU26" s="254" t="str">
        <f ca="1">IF(AuswDipl0[[#This Row],[ZwSp_Höchst]]&lt;&gt;"",VLOOKUP(AuswDipl0[[#This Row],[Nummer]],_Diplom,$BU$6,FALSE),VLOOKUP(AuswDipl0[[#This Row],[Nummer]],_Diplom,$BU$6,FALSE))</f>
        <v>Zweite Spielsportart</v>
      </c>
      <c r="BV26" s="254" t="str">
        <f ca="1">VLOOKUP(AuswDipl0[[#This Row],[Nummer]],_Diplom,$BV$6,FALSE)</f>
        <v>nicht durchgeführt</v>
      </c>
      <c r="BW26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6" s="254" t="str">
        <f ca="1">VLOOKUP(AuswDipl0[[#This Row],[Nummer]],_Diplom,$BX$6,FALSE)</f>
        <v/>
      </c>
      <c r="BY26" s="254" t="str">
        <f ca="1">VLOOKUP(AuswDipl0[[#This Row],[Nummer]],_Diplom,$BY$6,FALSE)</f>
        <v/>
      </c>
      <c r="BZ26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6" s="254" t="str">
        <f ca="1">VLOOKUP(AuswDipl0[[#This Row],[Nummer]],_Diplom,$CA$6,FALSE)</f>
        <v/>
      </c>
      <c r="CB26" s="254" t="str">
        <f ca="1">VLOOKUP(AuswDipl0[[#This Row],[Nummer]],_Diplom,$CB$6,FALSE)</f>
        <v/>
      </c>
      <c r="CC26" s="254" t="str">
        <f ca="1">IF(AuswDipl0[[#This Row],[DrSp_Höchst]]&lt;&gt;"",VLOOKUP(AuswDipl0[[#This Row],[Nummer]],_Diplom,$CC$6,FALSE),VLOOKUP(AuswDipl0[[#This Row],[Nummer]],_Diplom,$CC$6,FALSE))</f>
        <v>Dritte Spielsportart</v>
      </c>
      <c r="CD26" s="254" t="str">
        <f ca="1">VLOOKUP(AuswDipl0[[#This Row],[Nummer]],_Diplom,$CD$6,FALSE)</f>
        <v>nicht durchgeführt</v>
      </c>
      <c r="CE26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6" s="254" t="str">
        <f ca="1">VLOOKUP(AuswDipl0[[#This Row],[Nummer]],_Diplom,$CF$6,FALSE)</f>
        <v/>
      </c>
      <c r="CG26" s="254" t="str">
        <f ca="1">VLOOKUP(AuswDipl0[[#This Row],[Nummer]],_Diplom,$CG$6,FALSE)</f>
        <v/>
      </c>
      <c r="CH26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6" s="254" t="str">
        <f ca="1">VLOOKUP(AuswDipl0[[#This Row],[Nummer]],_Diplom,$CI$6,FALSE)</f>
        <v/>
      </c>
      <c r="CJ26" s="254" t="str">
        <f ca="1">VLOOKUP(AuswDipl0[[#This Row],[Nummer]],_Diplom,$CJ$6,FALSE)</f>
        <v/>
      </c>
      <c r="CK26" s="254" t="str">
        <f ca="1">VLOOKUP(AuswDipl0[[#This Row],[Nummer]],_Diplom,CK$6,FALSE)</f>
        <v>Zu wenige Noten</v>
      </c>
      <c r="CL26" s="254">
        <f ca="1">VLOOKUP(AuswDipl0[[#This Row],[Nummer]],_Diplom,CL$6,FALSE)</f>
        <v>0</v>
      </c>
      <c r="CM26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6" s="254">
        <f ca="1">IFERROR(INDEX(INDIRECT($CN$4),MATCH(AuswDipl0[[#This Row],[BS_1_Med]],INDIRECT($CN$3),0)),6)</f>
        <v>6</v>
      </c>
      <c r="CO26" s="254" t="str">
        <f ca="1">VLOOKUP(AuswDipl0[[#This Row],[Nummer]],_Diplom,CO$6,FALSE)</f>
        <v>Zu wenige Noten</v>
      </c>
      <c r="CP26" s="254">
        <f>VLOOKUP(AuswDipl0[[#This Row],[Nummer]],_Diplom,CP$6,FALSE)</f>
        <v>0</v>
      </c>
      <c r="CQ26" s="254">
        <f ca="1">VLOOKUP(AuswDipl0[[#This Row],[Nummer]],_Diplom,CQ$6,FALSE)</f>
        <v>0</v>
      </c>
      <c r="CR26" s="254">
        <f ca="1">IF(AND(AuswDipl0[[#This Row],[BS_2_AnzGer]]&gt;=$CP$2,AND(ISNUMBER(AuswDipl0[[#This Row],[BS_2_Park]]),AuswDipl0[[#This Row],[BS_2_Park]]&gt;0)),1,0)</f>
        <v>0</v>
      </c>
      <c r="CS26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6" s="254">
        <f ca="1">IFERROR(INDEX(INDIRECT($CT$4),MATCH(AuswDipl0[[#This Row],[BS_2_Med]],INDIRECT($CT$3),0)),6)</f>
        <v>6</v>
      </c>
      <c r="CU26" s="254" t="str">
        <f ca="1">VLOOKUP(AuswDipl0[[#This Row],[Nummer]],_Diplom,CU$6,FALSE)</f>
        <v>Zu wenige Noten</v>
      </c>
      <c r="CV26" s="254">
        <f ca="1">IF(AuswDipl0[[#This Row],[BS_3_Erg]]=INDEX(StdFehler[StdFehler],4),0,IF(AuswDipl0[[#This Row],[BS_3_Erg]]=Stammdaten!$AX$19,Stammdaten!$AX$19,VALUE(AuswDipl0[[#This Row],[BS_3_Erg]])))</f>
        <v>0</v>
      </c>
      <c r="CW26" s="254" t="str">
        <f ca="1">IF(AuswDipl0[[#This Row],[BS_3_x]]=0,"",INDEX(INDIRECT(CW$4),MATCH(AuswDipl0[[#This Row],[BS_3_x]],INDIRECT(CW$3),0)))</f>
        <v/>
      </c>
      <c r="CX26" s="254">
        <f ca="1">IFERROR(INDEX(INDIRECT($CX$4),MATCH(AuswDipl0[[#This Row],[BS_3_Med]],INDIRECT($CX$3),0)),6)</f>
        <v>6</v>
      </c>
      <c r="CY26" s="254" t="str">
        <f ca="1">VLOOKUP(AuswDipl0[[#This Row],[Nummer]],_Diplom,CY$6,FALSE)</f>
        <v>Zu wenige Noten</v>
      </c>
      <c r="CZ26" s="254">
        <f ca="1">VLOOKUP(AuswDipl0[[#This Row],[Nummer]],_Diplom,CZ$6,FALSE)</f>
        <v>0</v>
      </c>
      <c r="DA26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6" s="254">
        <f ca="1">IFERROR(INDEX(INDIRECT($DB$4),MATCH(AuswDipl0[[#This Row],[BS_4_Med]],INDIRECT($DB$3),0)),6)</f>
        <v>6</v>
      </c>
    </row>
    <row r="27" spans="1:106" ht="12" customHeight="1" x14ac:dyDescent="0.25">
      <c r="A27" s="254">
        <v>21</v>
      </c>
      <c r="B27" s="254" t="str">
        <f ca="1">VLOOKUP(AuswDipl0[[#This Row],[Nummer]],_Diplom,B$6,FALSE)</f>
        <v>Sprintdisziplinen nicht durchgeführt</v>
      </c>
      <c r="C27" s="254" t="str">
        <f ca="1">IFERROR(VLOOKUP(AuswDipl0[[#This Row],[Sprint0]],INDIRECT($A$2),1,0),$B$4)</f>
        <v>Sprintdisziplinen</v>
      </c>
      <c r="D27" s="254" t="str">
        <f ca="1">IF(AuswDipl0[[#This Row],[Sprint00]]=$B$4,MID(AuswDipl0[[#This Row],[Sprint0]],FIND(" ",AuswDipl0[[#This Row],[Sprint0]],1)+1,LEN(AuswDipl0[[#This Row],[Sprint0]])),"")</f>
        <v>nicht durchgeführt</v>
      </c>
      <c r="E27" s="254" t="str">
        <f ca="1">IF(AuswDipl0[[#This Row],[Sprint000]]=Stammdaten!$AY$27,AuswDipl0[[#This Row],[Sprint000]],"")</f>
        <v>nicht durchgeführt</v>
      </c>
      <c r="F27" s="254" t="str">
        <f ca="1">IF(VLOOKUP(AuswDipl0[[#This Row],[Nummer]],_Diplom,F$6,FALSE)="",""," "&amp;VLOOKUP(AuswDipl0[[#This Row],[Nummer]],_Diplom,F$6,FALSE))</f>
        <v/>
      </c>
      <c r="G27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7" s="254" t="str">
        <f ca="1">IF(VLOOKUP(AuswDipl0[[#This Row],[Nummer]],_Diplom,H$6,FALSE)&lt;&gt;"","("&amp;VLOOKUP(AuswDipl0[[#This Row],[Nummer]],_Diplom,H$6,FALSE)&amp;")","")</f>
        <v/>
      </c>
      <c r="I27" s="254" t="str">
        <f ca="1">VLOOKUP(AuswDipl0[[#This Row],[Nummer]],_Diplom,I$6,FALSE)</f>
        <v>Ausdauerdisziplinen nicht durchgeführt</v>
      </c>
      <c r="J27" s="254" t="str">
        <f ca="1">IFERROR(VLOOKUP(AuswDipl0[[#This Row],[Ausdauer0]],INDIRECT($A$2),1,0),$I$4)</f>
        <v>Ausdauerdisziplinen</v>
      </c>
      <c r="K27" s="254" t="str">
        <f ca="1">IF(AuswDipl0[[#This Row],[Ausdauer00]]=$I$4,MID(AuswDipl0[[#This Row],[Ausdauer0]],FIND(" ",AuswDipl0[[#This Row],[Ausdauer0]],1)+1,LEN(AuswDipl0[[#This Row],[Ausdauer0]])),"")</f>
        <v>nicht durchgeführt</v>
      </c>
      <c r="L27" s="254" t="str">
        <f ca="1">IF(AuswDipl0[[#This Row],[Ausdauer000]]=Stammdaten!$AY$27,AuswDipl0[[#This Row],[Ausdauer000]],"")</f>
        <v>nicht durchgeführt</v>
      </c>
      <c r="M27" s="254" t="str">
        <f ca="1">IF(VLOOKUP(AuswDipl0[[#This Row],[Nummer]],_Diplom,M$6,FALSE)="",""," "&amp;VLOOKUP(AuswDipl0[[#This Row],[Nummer]],_Diplom,M$6,FALSE))</f>
        <v/>
      </c>
      <c r="N27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7" s="254" t="str">
        <f ca="1">IF(VLOOKUP(AuswDipl0[[#This Row],[Nummer]],_Diplom,O$6,FALSE)&lt;&gt;"","("&amp;VLOOKUP(AuswDipl0[[#This Row],[Nummer]],_Diplom,O$6,FALSE)&amp;")","")</f>
        <v/>
      </c>
      <c r="P27" s="254" t="str">
        <f ca="1">VLOOKUP(AuswDipl0[[#This Row],[Nummer]],_Diplom,P$6,FALSE)</f>
        <v>Sprungdisziplinen nicht durchgeführt</v>
      </c>
      <c r="Q27" s="254" t="str">
        <f ca="1">IFERROR(VLOOKUP(AuswDipl0[[#This Row],[Sprung0]],INDIRECT($A$2),1,0),$P$4)</f>
        <v>Sprungdisziplinen</v>
      </c>
      <c r="R27" s="254" t="str">
        <f ca="1">IF(AuswDipl0[[#This Row],[Sprung00]]=$P$4,MID(AuswDipl0[[#This Row],[Sprung0]],FIND(" ",AuswDipl0[[#This Row],[Sprung0]],1)+1,LEN(AuswDipl0[[#This Row],[Sprung0]])),"")</f>
        <v>nicht durchgeführt</v>
      </c>
      <c r="S27" s="254" t="str">
        <f ca="1">IF(AuswDipl0[[#This Row],[Sprung000]]=Stammdaten!$AY$27,AuswDipl0[[#This Row],[Sprung000]],"")</f>
        <v>nicht durchgeführt</v>
      </c>
      <c r="T27" s="254" t="str">
        <f ca="1">IF(VLOOKUP(AuswDipl0[[#This Row],[Nummer]],_Diplom,T$6,FALSE)="",""," "&amp;VLOOKUP(AuswDipl0[[#This Row],[Nummer]],_Diplom,T$6,FALSE))</f>
        <v/>
      </c>
      <c r="U27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7" s="254" t="str">
        <f ca="1">IF(VLOOKUP(AuswDipl0[[#This Row],[Nummer]],_Diplom,V$6,FALSE)&lt;&gt;"","("&amp;VLOOKUP(AuswDipl0[[#This Row],[Nummer]],_Diplom,V$6,FALSE)&amp;")","")</f>
        <v/>
      </c>
      <c r="W27" s="254" t="str">
        <f ca="1">VLOOKUP(AuswDipl0[[#This Row],[Nummer]],_Diplom,W$6,FALSE)</f>
        <v>Wurfdisziplinen nicht durchgeführt</v>
      </c>
      <c r="X27" s="254" t="str">
        <f ca="1">IFERROR(VLOOKUP(AuswDipl0[[#This Row],[Wurf0]],INDIRECT($A$2),1,0),$W$4)</f>
        <v>Wurfdisziplinen</v>
      </c>
      <c r="Y27" s="254" t="str">
        <f ca="1">IF(AuswDipl0[[#This Row],[Wurf00]]=$W$4,MID(AuswDipl0[[#This Row],[Wurf0]],FIND(" ",AuswDipl0[[#This Row],[Wurf0]],1)+1,LEN(AuswDipl0[[#This Row],[Wurf0]])),"")</f>
        <v>nicht durchgeführt</v>
      </c>
      <c r="Z27" s="254" t="str">
        <f ca="1">IF(AuswDipl0[[#This Row],[Wurf000]]=Stammdaten!$AY$27,AuswDipl0[[#This Row],[Wurf000]],"")</f>
        <v>nicht durchgeführt</v>
      </c>
      <c r="AA27" s="254" t="str">
        <f ca="1">IF(VLOOKUP(AuswDipl0[[#This Row],[Nummer]],_Diplom,AA$6,FALSE)="",""," "&amp;VLOOKUP(AuswDipl0[[#This Row],[Nummer]],_Diplom,AA$6,FALSE))</f>
        <v/>
      </c>
      <c r="AB27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7" s="254" t="str">
        <f ca="1">IF(VLOOKUP(AuswDipl0[[#This Row],[Nummer]],_Diplom,AC$6,FALSE)&lt;&gt;"","("&amp;VLOOKUP(AuswDipl0[[#This Row],[Nummer]],_Diplom,AC$6,FALSE)&amp;")","")</f>
        <v/>
      </c>
      <c r="AD27" s="254" t="str">
        <f ca="1">IF(AuswDipl0[[#This Row],[ErGe_Höchst]]&lt;&gt;"",VLOOKUP(AuswDipl0[[#This Row],[Nummer]],_Diplom,$AD$6,FALSE),VLOOKUP(AuswDipl0[[#This Row],[Nummer]],_Diplom,$AD$6,FALSE))</f>
        <v>Erstes Gerät</v>
      </c>
      <c r="AE27" s="254" t="str">
        <f ca="1">VLOOKUP(AuswDipl0[[#This Row],[Nummer]],_Diplom,$AE$6,FALSE)</f>
        <v>nicht durchgeführt</v>
      </c>
      <c r="AF27" s="254" t="str">
        <f ca="1">IF(AuswDipl0[[#This Row],[ErGe_Höchst]]&lt;&gt;"",AuswDipl0[[#This Row],[ErGe_Höchst]],AuswDipl0[[#This Row],[ErGe_Txt2]])</f>
        <v>nicht durchgeführt</v>
      </c>
      <c r="AG27" s="254" t="str">
        <f ca="1">VLOOKUP(AuswDipl0[[#This Row],[Nummer]],_Diplom,$AG$6,FALSE)</f>
        <v/>
      </c>
      <c r="AH27" s="254" t="str">
        <f>VLOOKUP(AuswDipl0[[#This Row],[Nummer]],_Diplom,$AH$6,FALSE)</f>
        <v/>
      </c>
      <c r="AI27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7" s="254" t="str">
        <f ca="1">VLOOKUP(AuswDipl0[[#This Row],[Nummer]],_Diplom,$AJ$6,FALSE)</f>
        <v/>
      </c>
      <c r="AK27" s="254" t="str">
        <f ca="1">IF(AuswDipl0[[#This Row],[ZwGe_Höchst]]&lt;&gt;"",VLOOKUP(AuswDipl0[[#This Row],[Nummer]],_Diplom,$AK$6,FALSE),VLOOKUP(AuswDipl0[[#This Row],[Nummer]],_Diplom,$AK$6,FALSE))</f>
        <v>Zweites Gerät</v>
      </c>
      <c r="AL27" s="254" t="str">
        <f ca="1">VLOOKUP(AuswDipl0[[#This Row],[Nummer]],_Diplom,$AL$6,FALSE)</f>
        <v>nicht durchgeführt</v>
      </c>
      <c r="AM27" s="254" t="str">
        <f ca="1">IF(AuswDipl0[[#This Row],[ZwGe_Höchst]]&lt;&gt;"",AuswDipl0[[#This Row],[ZwGe_Höchst]],AuswDipl0[[#This Row],[ZwGe_Txt2]])</f>
        <v>nicht durchgeführt</v>
      </c>
      <c r="AN27" s="254" t="str">
        <f ca="1">VLOOKUP(AuswDipl0[[#This Row],[Nummer]],_Diplom,$AN$6,FALSE)</f>
        <v/>
      </c>
      <c r="AO27" s="254" t="str">
        <f>VLOOKUP(AuswDipl0[[#This Row],[Nummer]],_Diplom,$AO$6,FALSE)</f>
        <v/>
      </c>
      <c r="AP27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7" s="254" t="str">
        <f ca="1">VLOOKUP(AuswDipl0[[#This Row],[Nummer]],_Diplom,$AQ$6,FALSE)</f>
        <v/>
      </c>
      <c r="AR27" s="254" t="str">
        <f ca="1">IF(AuswDipl0[[#This Row],[DrGe_Höchst]]&lt;&gt;"",VLOOKUP(AuswDipl0[[#This Row],[Nummer]],_Diplom,$AR$6,FALSE),VLOOKUP(AuswDipl0[[#This Row],[Nummer]],_Diplom,$AR$6,FALSE))</f>
        <v>Drittes Gerät</v>
      </c>
      <c r="AS27" s="254" t="str">
        <f ca="1">VLOOKUP(AuswDipl0[[#This Row],[Nummer]],_Diplom,$AS$6,FALSE)</f>
        <v>nicht durchgeführt</v>
      </c>
      <c r="AT27" s="254" t="str">
        <f ca="1">IF(AuswDipl0[[#This Row],[DrGe_Höchst]]&lt;&gt;"",AuswDipl0[[#This Row],[DrGe_Höchst]],AuswDipl0[[#This Row],[DrGe_Txt2]])</f>
        <v>nicht durchgeführt</v>
      </c>
      <c r="AU27" s="254" t="str">
        <f ca="1">VLOOKUP(AuswDipl0[[#This Row],[Nummer]],_Diplom,$AU$6,FALSE)</f>
        <v/>
      </c>
      <c r="AV27" s="254" t="str">
        <f>VLOOKUP(AuswDipl0[[#This Row],[Nummer]],_Diplom,$AV$6,FALSE)</f>
        <v/>
      </c>
      <c r="AW27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7" s="254" t="str">
        <f ca="1">VLOOKUP(AuswDipl0[[#This Row],[Nummer]],_Diplom,$AX$6,FALSE)</f>
        <v/>
      </c>
      <c r="AY27" s="254" t="str">
        <f t="shared" si="0"/>
        <v>Parkour</v>
      </c>
      <c r="AZ27" s="254">
        <f ca="1">INDEX(INDIRECT($AZ$2),AuswDipl0[[#This Row],[Nummer]])</f>
        <v>0</v>
      </c>
      <c r="BA27" s="254" t="str">
        <f ca="1">IFERROR(IF(AuswDipl0[[#This Row],[ParkourPkte0]]&gt;0," "&amp;INDEX(INDIRECT($BA$2),MATCH($AY$1,INDIRECT($A$2),0)),""),"")</f>
        <v/>
      </c>
      <c r="BB27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7" s="254" t="str">
        <f ca="1">IF(AuswDipl0[[#This Row],[ParkourMax]]&lt;&gt;"",AuswDipl0[[#This Row],[ParkourMax]],Stammdaten!$AY$27)</f>
        <v>nicht durchgeführt</v>
      </c>
      <c r="BD27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7" s="254" t="str">
        <f ca="1">IF(AuswDipl0[[#This Row],[ParkourPkte1]]="","",VLOOKUP(AuswDipl0[[#This Row],[Nummer]],_Diplom,BE$6,FALSE))</f>
        <v/>
      </c>
      <c r="BF27" s="254" t="str">
        <f ca="1">VLOOKUP(AuswDipl0[[#This Row],[Nummer]],_Diplom,BF$6,FALSE)</f>
        <v>Darstellen und Tanzen</v>
      </c>
      <c r="BG27" s="254" t="str">
        <f ca="1">VLOOKUP(AuswDipl0[[#This Row],[Nummer]],_Diplom,BG$6,FALSE)</f>
        <v>nicht durchgeführt</v>
      </c>
      <c r="BH27" s="254" t="str">
        <f ca="1">IF(AuswDipl0[[#This Row],[BS_3_Max]]&lt;&gt;"",AuswDipl0[[#This Row],[BS_3_Max]],AuswDipl0[[#This Row],[BS_3_Txt1]])</f>
        <v>nicht durchgeführt</v>
      </c>
      <c r="BI27" s="254" t="str">
        <f ca="1">IF(VLOOKUP(AuswDipl0[[#This Row],[Nummer]],_Diplom,BI$6,FALSE)="","",VLOOKUP(AuswDipl0[[#This Row],[Nummer]],_Diplom,BI$6,FALSE))</f>
        <v/>
      </c>
      <c r="BJ27" s="254" t="str">
        <f ca="1">IF(AuswDipl0[[#This Row],[BS_3_Txt1]]=Stammdaten!$AX$19,AuswDipl0[[#This Row],[BS_3_Txt1]],AuswDipl0[[#This Row],[BS_3_Pkte0]]&amp;AuswDipl0[[#This Row],[BS_3_Mass]])</f>
        <v/>
      </c>
      <c r="BK27" s="254" t="str">
        <f ca="1">IFERROR(" "&amp;INDEX(INDIRECT($BK$2),MATCH(AuswDipl0[[#This Row],[BS_3_Txt0]],INDIRECT($A$2),0)),"")</f>
        <v/>
      </c>
      <c r="BL27" s="254" t="str">
        <f ca="1">VLOOKUP(AuswDipl0[[#This Row],[Nummer]],_Diplom,BL$6,FALSE)</f>
        <v/>
      </c>
      <c r="BM27" s="254" t="str">
        <f ca="1">IF(AuswDipl0[[#This Row],[ErSp_Höchst]]&lt;&gt;"",VLOOKUP(AuswDipl0[[#This Row],[Nummer]],_Diplom,$BM$6,FALSE),VLOOKUP(AuswDipl0[[#This Row],[Nummer]],_Diplom,$BM$6,FALSE))</f>
        <v>Erste Spielsportart</v>
      </c>
      <c r="BN27" s="254" t="str">
        <f ca="1">VLOOKUP(AuswDipl0[[#This Row],[Nummer]],_Diplom,$BN$6,FALSE)</f>
        <v>nicht durchgeführt</v>
      </c>
      <c r="BO27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7" s="254" t="str">
        <f ca="1">VLOOKUP(AuswDipl0[[#This Row],[Nummer]],_Diplom,$BP$6,FALSE)</f>
        <v/>
      </c>
      <c r="BQ27" s="254" t="str">
        <f ca="1">VLOOKUP(AuswDipl0[[#This Row],[Nummer]],_Diplom,$BQ$6,FALSE)</f>
        <v/>
      </c>
      <c r="BR27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7" s="254" t="str">
        <f ca="1">VLOOKUP(AuswDipl0[[#This Row],[Nummer]],_Diplom,$BS$6,FALSE)</f>
        <v/>
      </c>
      <c r="BT27" s="254" t="str">
        <f ca="1">VLOOKUP(AuswDipl0[[#This Row],[Nummer]],_Diplom,$BT$6,FALSE)</f>
        <v/>
      </c>
      <c r="BU27" s="254" t="str">
        <f ca="1">IF(AuswDipl0[[#This Row],[ZwSp_Höchst]]&lt;&gt;"",VLOOKUP(AuswDipl0[[#This Row],[Nummer]],_Diplom,$BU$6,FALSE),VLOOKUP(AuswDipl0[[#This Row],[Nummer]],_Diplom,$BU$6,FALSE))</f>
        <v>Zweite Spielsportart</v>
      </c>
      <c r="BV27" s="254" t="str">
        <f ca="1">VLOOKUP(AuswDipl0[[#This Row],[Nummer]],_Diplom,$BV$6,FALSE)</f>
        <v>nicht durchgeführt</v>
      </c>
      <c r="BW27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7" s="254" t="str">
        <f ca="1">VLOOKUP(AuswDipl0[[#This Row],[Nummer]],_Diplom,$BX$6,FALSE)</f>
        <v/>
      </c>
      <c r="BY27" s="254" t="str">
        <f ca="1">VLOOKUP(AuswDipl0[[#This Row],[Nummer]],_Diplom,$BY$6,FALSE)</f>
        <v/>
      </c>
      <c r="BZ27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7" s="254" t="str">
        <f ca="1">VLOOKUP(AuswDipl0[[#This Row],[Nummer]],_Diplom,$CA$6,FALSE)</f>
        <v/>
      </c>
      <c r="CB27" s="254" t="str">
        <f ca="1">VLOOKUP(AuswDipl0[[#This Row],[Nummer]],_Diplom,$CB$6,FALSE)</f>
        <v/>
      </c>
      <c r="CC27" s="254" t="str">
        <f ca="1">IF(AuswDipl0[[#This Row],[DrSp_Höchst]]&lt;&gt;"",VLOOKUP(AuswDipl0[[#This Row],[Nummer]],_Diplom,$CC$6,FALSE),VLOOKUP(AuswDipl0[[#This Row],[Nummer]],_Diplom,$CC$6,FALSE))</f>
        <v>Dritte Spielsportart</v>
      </c>
      <c r="CD27" s="254" t="str">
        <f ca="1">VLOOKUP(AuswDipl0[[#This Row],[Nummer]],_Diplom,$CD$6,FALSE)</f>
        <v>nicht durchgeführt</v>
      </c>
      <c r="CE27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7" s="254" t="str">
        <f ca="1">VLOOKUP(AuswDipl0[[#This Row],[Nummer]],_Diplom,$CF$6,FALSE)</f>
        <v/>
      </c>
      <c r="CG27" s="254" t="str">
        <f ca="1">VLOOKUP(AuswDipl0[[#This Row],[Nummer]],_Diplom,$CG$6,FALSE)</f>
        <v/>
      </c>
      <c r="CH27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7" s="254" t="str">
        <f ca="1">VLOOKUP(AuswDipl0[[#This Row],[Nummer]],_Diplom,$CI$6,FALSE)</f>
        <v/>
      </c>
      <c r="CJ27" s="254" t="str">
        <f ca="1">VLOOKUP(AuswDipl0[[#This Row],[Nummer]],_Diplom,$CJ$6,FALSE)</f>
        <v/>
      </c>
      <c r="CK27" s="254" t="str">
        <f ca="1">VLOOKUP(AuswDipl0[[#This Row],[Nummer]],_Diplom,CK$6,FALSE)</f>
        <v>Zu wenige Noten</v>
      </c>
      <c r="CL27" s="254">
        <f ca="1">VLOOKUP(AuswDipl0[[#This Row],[Nummer]],_Diplom,CL$6,FALSE)</f>
        <v>0</v>
      </c>
      <c r="CM27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7" s="254">
        <f ca="1">IFERROR(INDEX(INDIRECT($CN$4),MATCH(AuswDipl0[[#This Row],[BS_1_Med]],INDIRECT($CN$3),0)),6)</f>
        <v>6</v>
      </c>
      <c r="CO27" s="254" t="str">
        <f ca="1">VLOOKUP(AuswDipl0[[#This Row],[Nummer]],_Diplom,CO$6,FALSE)</f>
        <v>Zu wenige Noten</v>
      </c>
      <c r="CP27" s="254">
        <f>VLOOKUP(AuswDipl0[[#This Row],[Nummer]],_Diplom,CP$6,FALSE)</f>
        <v>0</v>
      </c>
      <c r="CQ27" s="254">
        <f ca="1">VLOOKUP(AuswDipl0[[#This Row],[Nummer]],_Diplom,CQ$6,FALSE)</f>
        <v>0</v>
      </c>
      <c r="CR27" s="254">
        <f ca="1">IF(AND(AuswDipl0[[#This Row],[BS_2_AnzGer]]&gt;=$CP$2,AND(ISNUMBER(AuswDipl0[[#This Row],[BS_2_Park]]),AuswDipl0[[#This Row],[BS_2_Park]]&gt;0)),1,0)</f>
        <v>0</v>
      </c>
      <c r="CS27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7" s="254">
        <f ca="1">IFERROR(INDEX(INDIRECT($CT$4),MATCH(AuswDipl0[[#This Row],[BS_2_Med]],INDIRECT($CT$3),0)),6)</f>
        <v>6</v>
      </c>
      <c r="CU27" s="254" t="str">
        <f ca="1">VLOOKUP(AuswDipl0[[#This Row],[Nummer]],_Diplom,CU$6,FALSE)</f>
        <v>Zu wenige Noten</v>
      </c>
      <c r="CV27" s="254">
        <f ca="1">IF(AuswDipl0[[#This Row],[BS_3_Erg]]=INDEX(StdFehler[StdFehler],4),0,IF(AuswDipl0[[#This Row],[BS_3_Erg]]=Stammdaten!$AX$19,Stammdaten!$AX$19,VALUE(AuswDipl0[[#This Row],[BS_3_Erg]])))</f>
        <v>0</v>
      </c>
      <c r="CW27" s="254" t="str">
        <f ca="1">IF(AuswDipl0[[#This Row],[BS_3_x]]=0,"",INDEX(INDIRECT(CW$4),MATCH(AuswDipl0[[#This Row],[BS_3_x]],INDIRECT(CW$3),0)))</f>
        <v/>
      </c>
      <c r="CX27" s="254">
        <f ca="1">IFERROR(INDEX(INDIRECT($CX$4),MATCH(AuswDipl0[[#This Row],[BS_3_Med]],INDIRECT($CX$3),0)),6)</f>
        <v>6</v>
      </c>
      <c r="CY27" s="254" t="str">
        <f ca="1">VLOOKUP(AuswDipl0[[#This Row],[Nummer]],_Diplom,CY$6,FALSE)</f>
        <v>Zu wenige Noten</v>
      </c>
      <c r="CZ27" s="254">
        <f ca="1">VLOOKUP(AuswDipl0[[#This Row],[Nummer]],_Diplom,CZ$6,FALSE)</f>
        <v>0</v>
      </c>
      <c r="DA27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7" s="254">
        <f ca="1">IFERROR(INDEX(INDIRECT($DB$4),MATCH(AuswDipl0[[#This Row],[BS_4_Med]],INDIRECT($DB$3),0)),6)</f>
        <v>6</v>
      </c>
    </row>
    <row r="28" spans="1:106" ht="12" customHeight="1" x14ac:dyDescent="0.25">
      <c r="A28" s="254">
        <v>22</v>
      </c>
      <c r="B28" s="254" t="str">
        <f ca="1">VLOOKUP(AuswDipl0[[#This Row],[Nummer]],_Diplom,B$6,FALSE)</f>
        <v>Sprintdisziplinen nicht durchgeführt</v>
      </c>
      <c r="C28" s="254" t="str">
        <f ca="1">IFERROR(VLOOKUP(AuswDipl0[[#This Row],[Sprint0]],INDIRECT($A$2),1,0),$B$4)</f>
        <v>Sprintdisziplinen</v>
      </c>
      <c r="D28" s="254" t="str">
        <f ca="1">IF(AuswDipl0[[#This Row],[Sprint00]]=$B$4,MID(AuswDipl0[[#This Row],[Sprint0]],FIND(" ",AuswDipl0[[#This Row],[Sprint0]],1)+1,LEN(AuswDipl0[[#This Row],[Sprint0]])),"")</f>
        <v>nicht durchgeführt</v>
      </c>
      <c r="E28" s="254" t="str">
        <f ca="1">IF(AuswDipl0[[#This Row],[Sprint000]]=Stammdaten!$AY$27,AuswDipl0[[#This Row],[Sprint000]],"")</f>
        <v>nicht durchgeführt</v>
      </c>
      <c r="F28" s="254" t="str">
        <f ca="1">IF(VLOOKUP(AuswDipl0[[#This Row],[Nummer]],_Diplom,F$6,FALSE)="",""," "&amp;VLOOKUP(AuswDipl0[[#This Row],[Nummer]],_Diplom,F$6,FALSE))</f>
        <v/>
      </c>
      <c r="G28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8" s="254" t="str">
        <f ca="1">IF(VLOOKUP(AuswDipl0[[#This Row],[Nummer]],_Diplom,H$6,FALSE)&lt;&gt;"","("&amp;VLOOKUP(AuswDipl0[[#This Row],[Nummer]],_Diplom,H$6,FALSE)&amp;")","")</f>
        <v/>
      </c>
      <c r="I28" s="254" t="str">
        <f ca="1">VLOOKUP(AuswDipl0[[#This Row],[Nummer]],_Diplom,I$6,FALSE)</f>
        <v>Ausdauerdisziplinen nicht durchgeführt</v>
      </c>
      <c r="J28" s="254" t="str">
        <f ca="1">IFERROR(VLOOKUP(AuswDipl0[[#This Row],[Ausdauer0]],INDIRECT($A$2),1,0),$I$4)</f>
        <v>Ausdauerdisziplinen</v>
      </c>
      <c r="K28" s="254" t="str">
        <f ca="1">IF(AuswDipl0[[#This Row],[Ausdauer00]]=$I$4,MID(AuswDipl0[[#This Row],[Ausdauer0]],FIND(" ",AuswDipl0[[#This Row],[Ausdauer0]],1)+1,LEN(AuswDipl0[[#This Row],[Ausdauer0]])),"")</f>
        <v>nicht durchgeführt</v>
      </c>
      <c r="L28" s="254" t="str">
        <f ca="1">IF(AuswDipl0[[#This Row],[Ausdauer000]]=Stammdaten!$AY$27,AuswDipl0[[#This Row],[Ausdauer000]],"")</f>
        <v>nicht durchgeführt</v>
      </c>
      <c r="M28" s="254" t="str">
        <f ca="1">IF(VLOOKUP(AuswDipl0[[#This Row],[Nummer]],_Diplom,M$6,FALSE)="",""," "&amp;VLOOKUP(AuswDipl0[[#This Row],[Nummer]],_Diplom,M$6,FALSE))</f>
        <v/>
      </c>
      <c r="N28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8" s="254" t="str">
        <f ca="1">IF(VLOOKUP(AuswDipl0[[#This Row],[Nummer]],_Diplom,O$6,FALSE)&lt;&gt;"","("&amp;VLOOKUP(AuswDipl0[[#This Row],[Nummer]],_Diplom,O$6,FALSE)&amp;")","")</f>
        <v/>
      </c>
      <c r="P28" s="254" t="str">
        <f ca="1">VLOOKUP(AuswDipl0[[#This Row],[Nummer]],_Diplom,P$6,FALSE)</f>
        <v>Sprungdisziplinen nicht durchgeführt</v>
      </c>
      <c r="Q28" s="254" t="str">
        <f ca="1">IFERROR(VLOOKUP(AuswDipl0[[#This Row],[Sprung0]],INDIRECT($A$2),1,0),$P$4)</f>
        <v>Sprungdisziplinen</v>
      </c>
      <c r="R28" s="254" t="str">
        <f ca="1">IF(AuswDipl0[[#This Row],[Sprung00]]=$P$4,MID(AuswDipl0[[#This Row],[Sprung0]],FIND(" ",AuswDipl0[[#This Row],[Sprung0]],1)+1,LEN(AuswDipl0[[#This Row],[Sprung0]])),"")</f>
        <v>nicht durchgeführt</v>
      </c>
      <c r="S28" s="254" t="str">
        <f ca="1">IF(AuswDipl0[[#This Row],[Sprung000]]=Stammdaten!$AY$27,AuswDipl0[[#This Row],[Sprung000]],"")</f>
        <v>nicht durchgeführt</v>
      </c>
      <c r="T28" s="254" t="str">
        <f ca="1">IF(VLOOKUP(AuswDipl0[[#This Row],[Nummer]],_Diplom,T$6,FALSE)="",""," "&amp;VLOOKUP(AuswDipl0[[#This Row],[Nummer]],_Diplom,T$6,FALSE))</f>
        <v/>
      </c>
      <c r="U28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8" s="254" t="str">
        <f ca="1">IF(VLOOKUP(AuswDipl0[[#This Row],[Nummer]],_Diplom,V$6,FALSE)&lt;&gt;"","("&amp;VLOOKUP(AuswDipl0[[#This Row],[Nummer]],_Diplom,V$6,FALSE)&amp;")","")</f>
        <v/>
      </c>
      <c r="W28" s="254" t="str">
        <f ca="1">VLOOKUP(AuswDipl0[[#This Row],[Nummer]],_Diplom,W$6,FALSE)</f>
        <v>Wurfdisziplinen nicht durchgeführt</v>
      </c>
      <c r="X28" s="254" t="str">
        <f ca="1">IFERROR(VLOOKUP(AuswDipl0[[#This Row],[Wurf0]],INDIRECT($A$2),1,0),$W$4)</f>
        <v>Wurfdisziplinen</v>
      </c>
      <c r="Y28" s="254" t="str">
        <f ca="1">IF(AuswDipl0[[#This Row],[Wurf00]]=$W$4,MID(AuswDipl0[[#This Row],[Wurf0]],FIND(" ",AuswDipl0[[#This Row],[Wurf0]],1)+1,LEN(AuswDipl0[[#This Row],[Wurf0]])),"")</f>
        <v>nicht durchgeführt</v>
      </c>
      <c r="Z28" s="254" t="str">
        <f ca="1">IF(AuswDipl0[[#This Row],[Wurf000]]=Stammdaten!$AY$27,AuswDipl0[[#This Row],[Wurf000]],"")</f>
        <v>nicht durchgeführt</v>
      </c>
      <c r="AA28" s="254" t="str">
        <f ca="1">IF(VLOOKUP(AuswDipl0[[#This Row],[Nummer]],_Diplom,AA$6,FALSE)="",""," "&amp;VLOOKUP(AuswDipl0[[#This Row],[Nummer]],_Diplom,AA$6,FALSE))</f>
        <v/>
      </c>
      <c r="AB28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8" s="254" t="str">
        <f ca="1">IF(VLOOKUP(AuswDipl0[[#This Row],[Nummer]],_Diplom,AC$6,FALSE)&lt;&gt;"","("&amp;VLOOKUP(AuswDipl0[[#This Row],[Nummer]],_Diplom,AC$6,FALSE)&amp;")","")</f>
        <v/>
      </c>
      <c r="AD28" s="254" t="str">
        <f ca="1">IF(AuswDipl0[[#This Row],[ErGe_Höchst]]&lt;&gt;"",VLOOKUP(AuswDipl0[[#This Row],[Nummer]],_Diplom,$AD$6,FALSE),VLOOKUP(AuswDipl0[[#This Row],[Nummer]],_Diplom,$AD$6,FALSE))</f>
        <v>Erstes Gerät</v>
      </c>
      <c r="AE28" s="254" t="str">
        <f ca="1">VLOOKUP(AuswDipl0[[#This Row],[Nummer]],_Diplom,$AE$6,FALSE)</f>
        <v>nicht durchgeführt</v>
      </c>
      <c r="AF28" s="254" t="str">
        <f ca="1">IF(AuswDipl0[[#This Row],[ErGe_Höchst]]&lt;&gt;"",AuswDipl0[[#This Row],[ErGe_Höchst]],AuswDipl0[[#This Row],[ErGe_Txt2]])</f>
        <v>nicht durchgeführt</v>
      </c>
      <c r="AG28" s="254" t="str">
        <f ca="1">VLOOKUP(AuswDipl0[[#This Row],[Nummer]],_Diplom,$AG$6,FALSE)</f>
        <v/>
      </c>
      <c r="AH28" s="254" t="str">
        <f>VLOOKUP(AuswDipl0[[#This Row],[Nummer]],_Diplom,$AH$6,FALSE)</f>
        <v/>
      </c>
      <c r="AI28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8" s="254" t="str">
        <f ca="1">VLOOKUP(AuswDipl0[[#This Row],[Nummer]],_Diplom,$AJ$6,FALSE)</f>
        <v/>
      </c>
      <c r="AK28" s="254" t="str">
        <f ca="1">IF(AuswDipl0[[#This Row],[ZwGe_Höchst]]&lt;&gt;"",VLOOKUP(AuswDipl0[[#This Row],[Nummer]],_Diplom,$AK$6,FALSE),VLOOKUP(AuswDipl0[[#This Row],[Nummer]],_Diplom,$AK$6,FALSE))</f>
        <v>Zweites Gerät</v>
      </c>
      <c r="AL28" s="254" t="str">
        <f ca="1">VLOOKUP(AuswDipl0[[#This Row],[Nummer]],_Diplom,$AL$6,FALSE)</f>
        <v>nicht durchgeführt</v>
      </c>
      <c r="AM28" s="254" t="str">
        <f ca="1">IF(AuswDipl0[[#This Row],[ZwGe_Höchst]]&lt;&gt;"",AuswDipl0[[#This Row],[ZwGe_Höchst]],AuswDipl0[[#This Row],[ZwGe_Txt2]])</f>
        <v>nicht durchgeführt</v>
      </c>
      <c r="AN28" s="254" t="str">
        <f ca="1">VLOOKUP(AuswDipl0[[#This Row],[Nummer]],_Diplom,$AN$6,FALSE)</f>
        <v/>
      </c>
      <c r="AO28" s="254" t="str">
        <f>VLOOKUP(AuswDipl0[[#This Row],[Nummer]],_Diplom,$AO$6,FALSE)</f>
        <v/>
      </c>
      <c r="AP28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8" s="254" t="str">
        <f ca="1">VLOOKUP(AuswDipl0[[#This Row],[Nummer]],_Diplom,$AQ$6,FALSE)</f>
        <v/>
      </c>
      <c r="AR28" s="254" t="str">
        <f ca="1">IF(AuswDipl0[[#This Row],[DrGe_Höchst]]&lt;&gt;"",VLOOKUP(AuswDipl0[[#This Row],[Nummer]],_Diplom,$AR$6,FALSE),VLOOKUP(AuswDipl0[[#This Row],[Nummer]],_Diplom,$AR$6,FALSE))</f>
        <v>Drittes Gerät</v>
      </c>
      <c r="AS28" s="254" t="str">
        <f ca="1">VLOOKUP(AuswDipl0[[#This Row],[Nummer]],_Diplom,$AS$6,FALSE)</f>
        <v>nicht durchgeführt</v>
      </c>
      <c r="AT28" s="254" t="str">
        <f ca="1">IF(AuswDipl0[[#This Row],[DrGe_Höchst]]&lt;&gt;"",AuswDipl0[[#This Row],[DrGe_Höchst]],AuswDipl0[[#This Row],[DrGe_Txt2]])</f>
        <v>nicht durchgeführt</v>
      </c>
      <c r="AU28" s="254" t="str">
        <f ca="1">VLOOKUP(AuswDipl0[[#This Row],[Nummer]],_Diplom,$AU$6,FALSE)</f>
        <v/>
      </c>
      <c r="AV28" s="254" t="str">
        <f>VLOOKUP(AuswDipl0[[#This Row],[Nummer]],_Diplom,$AV$6,FALSE)</f>
        <v/>
      </c>
      <c r="AW28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8" s="254" t="str">
        <f ca="1">VLOOKUP(AuswDipl0[[#This Row],[Nummer]],_Diplom,$AX$6,FALSE)</f>
        <v/>
      </c>
      <c r="AY28" s="254" t="str">
        <f t="shared" si="0"/>
        <v>Parkour</v>
      </c>
      <c r="AZ28" s="278">
        <f ca="1">INDEX(INDIRECT($AZ$2),AuswDipl0[[#This Row],[Nummer]])</f>
        <v>0</v>
      </c>
      <c r="BA28" s="254" t="str">
        <f ca="1">IFERROR(IF(AuswDipl0[[#This Row],[ParkourPkte0]]&gt;0," "&amp;INDEX(INDIRECT($BA$2),MATCH($AY$1,INDIRECT($A$2),0)),""),"")</f>
        <v/>
      </c>
      <c r="BB28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8" s="254" t="str">
        <f ca="1">IF(AuswDipl0[[#This Row],[ParkourMax]]&lt;&gt;"",AuswDipl0[[#This Row],[ParkourMax]],Stammdaten!$AY$27)</f>
        <v>nicht durchgeführt</v>
      </c>
      <c r="BD28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8" s="254" t="str">
        <f ca="1">IF(AuswDipl0[[#This Row],[ParkourPkte1]]="","",VLOOKUP(AuswDipl0[[#This Row],[Nummer]],_Diplom,BE$6,FALSE))</f>
        <v/>
      </c>
      <c r="BF28" s="254" t="str">
        <f ca="1">VLOOKUP(AuswDipl0[[#This Row],[Nummer]],_Diplom,BF$6,FALSE)</f>
        <v>Darstellen und Tanzen</v>
      </c>
      <c r="BG28" s="254" t="str">
        <f ca="1">VLOOKUP(AuswDipl0[[#This Row],[Nummer]],_Diplom,BG$6,FALSE)</f>
        <v>nicht durchgeführt</v>
      </c>
      <c r="BH28" s="254" t="str">
        <f ca="1">IF(AuswDipl0[[#This Row],[BS_3_Max]]&lt;&gt;"",AuswDipl0[[#This Row],[BS_3_Max]],AuswDipl0[[#This Row],[BS_3_Txt1]])</f>
        <v>nicht durchgeführt</v>
      </c>
      <c r="BI28" s="254" t="str">
        <f ca="1">IF(VLOOKUP(AuswDipl0[[#This Row],[Nummer]],_Diplom,BI$6,FALSE)="","",VLOOKUP(AuswDipl0[[#This Row],[Nummer]],_Diplom,BI$6,FALSE))</f>
        <v/>
      </c>
      <c r="BJ28" s="254" t="str">
        <f ca="1">IF(AuswDipl0[[#This Row],[BS_3_Txt1]]=Stammdaten!$AX$19,AuswDipl0[[#This Row],[BS_3_Txt1]],AuswDipl0[[#This Row],[BS_3_Pkte0]]&amp;AuswDipl0[[#This Row],[BS_3_Mass]])</f>
        <v/>
      </c>
      <c r="BK28" s="254" t="str">
        <f ca="1">IFERROR(" "&amp;INDEX(INDIRECT($BK$2),MATCH(AuswDipl0[[#This Row],[BS_3_Txt0]],INDIRECT($A$2),0)),"")</f>
        <v/>
      </c>
      <c r="BL28" s="254" t="str">
        <f ca="1">VLOOKUP(AuswDipl0[[#This Row],[Nummer]],_Diplom,BL$6,FALSE)</f>
        <v/>
      </c>
      <c r="BM28" s="254" t="str">
        <f ca="1">IF(AuswDipl0[[#This Row],[ErSp_Höchst]]&lt;&gt;"",VLOOKUP(AuswDipl0[[#This Row],[Nummer]],_Diplom,$BM$6,FALSE),VLOOKUP(AuswDipl0[[#This Row],[Nummer]],_Diplom,$BM$6,FALSE))</f>
        <v>Erste Spielsportart</v>
      </c>
      <c r="BN28" s="254" t="str">
        <f ca="1">VLOOKUP(AuswDipl0[[#This Row],[Nummer]],_Diplom,$BN$6,FALSE)</f>
        <v>nicht durchgeführt</v>
      </c>
      <c r="BO28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8" s="254" t="str">
        <f ca="1">VLOOKUP(AuswDipl0[[#This Row],[Nummer]],_Diplom,$BP$6,FALSE)</f>
        <v/>
      </c>
      <c r="BQ28" s="254" t="str">
        <f ca="1">VLOOKUP(AuswDipl0[[#This Row],[Nummer]],_Diplom,$BQ$6,FALSE)</f>
        <v/>
      </c>
      <c r="BR28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8" s="254" t="str">
        <f ca="1">VLOOKUP(AuswDipl0[[#This Row],[Nummer]],_Diplom,$BS$6,FALSE)</f>
        <v/>
      </c>
      <c r="BT28" s="254" t="str">
        <f ca="1">VLOOKUP(AuswDipl0[[#This Row],[Nummer]],_Diplom,$BT$6,FALSE)</f>
        <v/>
      </c>
      <c r="BU28" s="254" t="str">
        <f ca="1">IF(AuswDipl0[[#This Row],[ZwSp_Höchst]]&lt;&gt;"",VLOOKUP(AuswDipl0[[#This Row],[Nummer]],_Diplom,$BU$6,FALSE),VLOOKUP(AuswDipl0[[#This Row],[Nummer]],_Diplom,$BU$6,FALSE))</f>
        <v>Zweite Spielsportart</v>
      </c>
      <c r="BV28" s="254" t="str">
        <f ca="1">VLOOKUP(AuswDipl0[[#This Row],[Nummer]],_Diplom,$BV$6,FALSE)</f>
        <v>nicht durchgeführt</v>
      </c>
      <c r="BW28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8" s="254" t="str">
        <f ca="1">VLOOKUP(AuswDipl0[[#This Row],[Nummer]],_Diplom,$BX$6,FALSE)</f>
        <v/>
      </c>
      <c r="BY28" s="254" t="str">
        <f ca="1">VLOOKUP(AuswDipl0[[#This Row],[Nummer]],_Diplom,$BY$6,FALSE)</f>
        <v/>
      </c>
      <c r="BZ28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8" s="254" t="str">
        <f ca="1">VLOOKUP(AuswDipl0[[#This Row],[Nummer]],_Diplom,$CA$6,FALSE)</f>
        <v/>
      </c>
      <c r="CB28" s="254" t="str">
        <f ca="1">VLOOKUP(AuswDipl0[[#This Row],[Nummer]],_Diplom,$CB$6,FALSE)</f>
        <v/>
      </c>
      <c r="CC28" s="254" t="str">
        <f ca="1">IF(AuswDipl0[[#This Row],[DrSp_Höchst]]&lt;&gt;"",VLOOKUP(AuswDipl0[[#This Row],[Nummer]],_Diplom,$CC$6,FALSE),VLOOKUP(AuswDipl0[[#This Row],[Nummer]],_Diplom,$CC$6,FALSE))</f>
        <v>Dritte Spielsportart</v>
      </c>
      <c r="CD28" s="254" t="str">
        <f ca="1">VLOOKUP(AuswDipl0[[#This Row],[Nummer]],_Diplom,$CD$6,FALSE)</f>
        <v>nicht durchgeführt</v>
      </c>
      <c r="CE28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8" s="254" t="str">
        <f ca="1">VLOOKUP(AuswDipl0[[#This Row],[Nummer]],_Diplom,$CF$6,FALSE)</f>
        <v/>
      </c>
      <c r="CG28" s="254" t="str">
        <f ca="1">VLOOKUP(AuswDipl0[[#This Row],[Nummer]],_Diplom,$CG$6,FALSE)</f>
        <v/>
      </c>
      <c r="CH28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8" s="254" t="str">
        <f ca="1">VLOOKUP(AuswDipl0[[#This Row],[Nummer]],_Diplom,$CI$6,FALSE)</f>
        <v/>
      </c>
      <c r="CJ28" s="254" t="str">
        <f ca="1">VLOOKUP(AuswDipl0[[#This Row],[Nummer]],_Diplom,$CJ$6,FALSE)</f>
        <v/>
      </c>
      <c r="CK28" s="254" t="str">
        <f ca="1">VLOOKUP(AuswDipl0[[#This Row],[Nummer]],_Diplom,CK$6,FALSE)</f>
        <v>Zu wenige Noten</v>
      </c>
      <c r="CL28" s="254">
        <f ca="1">VLOOKUP(AuswDipl0[[#This Row],[Nummer]],_Diplom,CL$6,FALSE)</f>
        <v>0</v>
      </c>
      <c r="CM28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8" s="254">
        <f ca="1">IFERROR(INDEX(INDIRECT($CN$4),MATCH(AuswDipl0[[#This Row],[BS_1_Med]],INDIRECT($CN$3),0)),6)</f>
        <v>6</v>
      </c>
      <c r="CO28" s="254" t="str">
        <f ca="1">VLOOKUP(AuswDipl0[[#This Row],[Nummer]],_Diplom,CO$6,FALSE)</f>
        <v>Zu wenige Noten</v>
      </c>
      <c r="CP28" s="254">
        <f>VLOOKUP(AuswDipl0[[#This Row],[Nummer]],_Diplom,CP$6,FALSE)</f>
        <v>0</v>
      </c>
      <c r="CQ28" s="254">
        <f ca="1">VLOOKUP(AuswDipl0[[#This Row],[Nummer]],_Diplom,CQ$6,FALSE)</f>
        <v>0</v>
      </c>
      <c r="CR28" s="254">
        <f ca="1">IF(AND(AuswDipl0[[#This Row],[BS_2_AnzGer]]&gt;=$CP$2,AND(ISNUMBER(AuswDipl0[[#This Row],[BS_2_Park]]),AuswDipl0[[#This Row],[BS_2_Park]]&gt;0)),1,0)</f>
        <v>0</v>
      </c>
      <c r="CS28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8" s="254">
        <f ca="1">IFERROR(INDEX(INDIRECT($CT$4),MATCH(AuswDipl0[[#This Row],[BS_2_Med]],INDIRECT($CT$3),0)),6)</f>
        <v>6</v>
      </c>
      <c r="CU28" s="254" t="str">
        <f ca="1">VLOOKUP(AuswDipl0[[#This Row],[Nummer]],_Diplom,CU$6,FALSE)</f>
        <v>Zu wenige Noten</v>
      </c>
      <c r="CV28" s="254">
        <f ca="1">IF(AuswDipl0[[#This Row],[BS_3_Erg]]=INDEX(StdFehler[StdFehler],4),0,IF(AuswDipl0[[#This Row],[BS_3_Erg]]=Stammdaten!$AX$19,Stammdaten!$AX$19,VALUE(AuswDipl0[[#This Row],[BS_3_Erg]])))</f>
        <v>0</v>
      </c>
      <c r="CW28" s="254" t="str">
        <f ca="1">IF(AuswDipl0[[#This Row],[BS_3_x]]=0,"",INDEX(INDIRECT(CW$4),MATCH(AuswDipl0[[#This Row],[BS_3_x]],INDIRECT(CW$3),0)))</f>
        <v/>
      </c>
      <c r="CX28" s="254">
        <f ca="1">IFERROR(INDEX(INDIRECT($CX$4),MATCH(AuswDipl0[[#This Row],[BS_3_Med]],INDIRECT($CX$3),0)),6)</f>
        <v>6</v>
      </c>
      <c r="CY28" s="254" t="str">
        <f ca="1">VLOOKUP(AuswDipl0[[#This Row],[Nummer]],_Diplom,CY$6,FALSE)</f>
        <v>Zu wenige Noten</v>
      </c>
      <c r="CZ28" s="254">
        <f ca="1">VLOOKUP(AuswDipl0[[#This Row],[Nummer]],_Diplom,CZ$6,FALSE)</f>
        <v>0</v>
      </c>
      <c r="DA28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8" s="254">
        <f ca="1">IFERROR(INDEX(INDIRECT($DB$4),MATCH(AuswDipl0[[#This Row],[BS_4_Med]],INDIRECT($DB$3),0)),6)</f>
        <v>6</v>
      </c>
    </row>
    <row r="29" spans="1:106" ht="12" customHeight="1" x14ac:dyDescent="0.25">
      <c r="A29" s="254">
        <v>23</v>
      </c>
      <c r="B29" s="254" t="str">
        <f ca="1">VLOOKUP(AuswDipl0[[#This Row],[Nummer]],_Diplom,B$6,FALSE)</f>
        <v>Sprintdisziplinen nicht durchgeführt</v>
      </c>
      <c r="C29" s="254" t="str">
        <f ca="1">IFERROR(VLOOKUP(AuswDipl0[[#This Row],[Sprint0]],INDIRECT($A$2),1,0),$B$4)</f>
        <v>Sprintdisziplinen</v>
      </c>
      <c r="D29" s="254" t="str">
        <f ca="1">IF(AuswDipl0[[#This Row],[Sprint00]]=$B$4,MID(AuswDipl0[[#This Row],[Sprint0]],FIND(" ",AuswDipl0[[#This Row],[Sprint0]],1)+1,LEN(AuswDipl0[[#This Row],[Sprint0]])),"")</f>
        <v>nicht durchgeführt</v>
      </c>
      <c r="E29" s="254" t="str">
        <f ca="1">IF(AuswDipl0[[#This Row],[Sprint000]]=Stammdaten!$AY$27,AuswDipl0[[#This Row],[Sprint000]],"")</f>
        <v>nicht durchgeführt</v>
      </c>
      <c r="F29" s="254" t="str">
        <f ca="1">IF(VLOOKUP(AuswDipl0[[#This Row],[Nummer]],_Diplom,F$6,FALSE)="",""," "&amp;VLOOKUP(AuswDipl0[[#This Row],[Nummer]],_Diplom,F$6,FALSE))</f>
        <v/>
      </c>
      <c r="G29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29" s="254" t="str">
        <f ca="1">IF(VLOOKUP(AuswDipl0[[#This Row],[Nummer]],_Diplom,H$6,FALSE)&lt;&gt;"","("&amp;VLOOKUP(AuswDipl0[[#This Row],[Nummer]],_Diplom,H$6,FALSE)&amp;")","")</f>
        <v/>
      </c>
      <c r="I29" s="254" t="str">
        <f ca="1">VLOOKUP(AuswDipl0[[#This Row],[Nummer]],_Diplom,I$6,FALSE)</f>
        <v>Ausdauerdisziplinen nicht durchgeführt</v>
      </c>
      <c r="J29" s="254" t="str">
        <f ca="1">IFERROR(VLOOKUP(AuswDipl0[[#This Row],[Ausdauer0]],INDIRECT($A$2),1,0),$I$4)</f>
        <v>Ausdauerdisziplinen</v>
      </c>
      <c r="K29" s="254" t="str">
        <f ca="1">IF(AuswDipl0[[#This Row],[Ausdauer00]]=$I$4,MID(AuswDipl0[[#This Row],[Ausdauer0]],FIND(" ",AuswDipl0[[#This Row],[Ausdauer0]],1)+1,LEN(AuswDipl0[[#This Row],[Ausdauer0]])),"")</f>
        <v>nicht durchgeführt</v>
      </c>
      <c r="L29" s="254" t="str">
        <f ca="1">IF(AuswDipl0[[#This Row],[Ausdauer000]]=Stammdaten!$AY$27,AuswDipl0[[#This Row],[Ausdauer000]],"")</f>
        <v>nicht durchgeführt</v>
      </c>
      <c r="M29" s="254" t="str">
        <f ca="1">IF(VLOOKUP(AuswDipl0[[#This Row],[Nummer]],_Diplom,M$6,FALSE)="",""," "&amp;VLOOKUP(AuswDipl0[[#This Row],[Nummer]],_Diplom,M$6,FALSE))</f>
        <v/>
      </c>
      <c r="N29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29" s="254" t="str">
        <f ca="1">IF(VLOOKUP(AuswDipl0[[#This Row],[Nummer]],_Diplom,O$6,FALSE)&lt;&gt;"","("&amp;VLOOKUP(AuswDipl0[[#This Row],[Nummer]],_Diplom,O$6,FALSE)&amp;")","")</f>
        <v/>
      </c>
      <c r="P29" s="254" t="str">
        <f ca="1">VLOOKUP(AuswDipl0[[#This Row],[Nummer]],_Diplom,P$6,FALSE)</f>
        <v>Sprungdisziplinen nicht durchgeführt</v>
      </c>
      <c r="Q29" s="254" t="str">
        <f ca="1">IFERROR(VLOOKUP(AuswDipl0[[#This Row],[Sprung0]],INDIRECT($A$2),1,0),$P$4)</f>
        <v>Sprungdisziplinen</v>
      </c>
      <c r="R29" s="254" t="str">
        <f ca="1">IF(AuswDipl0[[#This Row],[Sprung00]]=$P$4,MID(AuswDipl0[[#This Row],[Sprung0]],FIND(" ",AuswDipl0[[#This Row],[Sprung0]],1)+1,LEN(AuswDipl0[[#This Row],[Sprung0]])),"")</f>
        <v>nicht durchgeführt</v>
      </c>
      <c r="S29" s="254" t="str">
        <f ca="1">IF(AuswDipl0[[#This Row],[Sprung000]]=Stammdaten!$AY$27,AuswDipl0[[#This Row],[Sprung000]],"")</f>
        <v>nicht durchgeführt</v>
      </c>
      <c r="T29" s="254" t="str">
        <f ca="1">IF(VLOOKUP(AuswDipl0[[#This Row],[Nummer]],_Diplom,T$6,FALSE)="",""," "&amp;VLOOKUP(AuswDipl0[[#This Row],[Nummer]],_Diplom,T$6,FALSE))</f>
        <v/>
      </c>
      <c r="U29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29" s="254" t="str">
        <f ca="1">IF(VLOOKUP(AuswDipl0[[#This Row],[Nummer]],_Diplom,V$6,FALSE)&lt;&gt;"","("&amp;VLOOKUP(AuswDipl0[[#This Row],[Nummer]],_Diplom,V$6,FALSE)&amp;")","")</f>
        <v/>
      </c>
      <c r="W29" s="254" t="str">
        <f ca="1">VLOOKUP(AuswDipl0[[#This Row],[Nummer]],_Diplom,W$6,FALSE)</f>
        <v>Wurfdisziplinen nicht durchgeführt</v>
      </c>
      <c r="X29" s="254" t="str">
        <f ca="1">IFERROR(VLOOKUP(AuswDipl0[[#This Row],[Wurf0]],INDIRECT($A$2),1,0),$W$4)</f>
        <v>Wurfdisziplinen</v>
      </c>
      <c r="Y29" s="254" t="str">
        <f ca="1">IF(AuswDipl0[[#This Row],[Wurf00]]=$W$4,MID(AuswDipl0[[#This Row],[Wurf0]],FIND(" ",AuswDipl0[[#This Row],[Wurf0]],1)+1,LEN(AuswDipl0[[#This Row],[Wurf0]])),"")</f>
        <v>nicht durchgeführt</v>
      </c>
      <c r="Z29" s="254" t="str">
        <f ca="1">IF(AuswDipl0[[#This Row],[Wurf000]]=Stammdaten!$AY$27,AuswDipl0[[#This Row],[Wurf000]],"")</f>
        <v>nicht durchgeführt</v>
      </c>
      <c r="AA29" s="254" t="str">
        <f ca="1">IF(VLOOKUP(AuswDipl0[[#This Row],[Nummer]],_Diplom,AA$6,FALSE)="",""," "&amp;VLOOKUP(AuswDipl0[[#This Row],[Nummer]],_Diplom,AA$6,FALSE))</f>
        <v/>
      </c>
      <c r="AB29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29" s="254" t="str">
        <f ca="1">IF(VLOOKUP(AuswDipl0[[#This Row],[Nummer]],_Diplom,AC$6,FALSE)&lt;&gt;"","("&amp;VLOOKUP(AuswDipl0[[#This Row],[Nummer]],_Diplom,AC$6,FALSE)&amp;")","")</f>
        <v/>
      </c>
      <c r="AD29" s="254" t="str">
        <f ca="1">IF(AuswDipl0[[#This Row],[ErGe_Höchst]]&lt;&gt;"",VLOOKUP(AuswDipl0[[#This Row],[Nummer]],_Diplom,$AD$6,FALSE),VLOOKUP(AuswDipl0[[#This Row],[Nummer]],_Diplom,$AD$6,FALSE))</f>
        <v>Erstes Gerät</v>
      </c>
      <c r="AE29" s="254" t="str">
        <f ca="1">VLOOKUP(AuswDipl0[[#This Row],[Nummer]],_Diplom,$AE$6,FALSE)</f>
        <v>nicht durchgeführt</v>
      </c>
      <c r="AF29" s="254" t="str">
        <f ca="1">IF(AuswDipl0[[#This Row],[ErGe_Höchst]]&lt;&gt;"",AuswDipl0[[#This Row],[ErGe_Höchst]],AuswDipl0[[#This Row],[ErGe_Txt2]])</f>
        <v>nicht durchgeführt</v>
      </c>
      <c r="AG29" s="254" t="str">
        <f ca="1">VLOOKUP(AuswDipl0[[#This Row],[Nummer]],_Diplom,$AG$6,FALSE)</f>
        <v/>
      </c>
      <c r="AH29" s="254" t="str">
        <f>VLOOKUP(AuswDipl0[[#This Row],[Nummer]],_Diplom,$AH$6,FALSE)</f>
        <v/>
      </c>
      <c r="AI29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29" s="254" t="str">
        <f ca="1">VLOOKUP(AuswDipl0[[#This Row],[Nummer]],_Diplom,$AJ$6,FALSE)</f>
        <v/>
      </c>
      <c r="AK29" s="254" t="str">
        <f ca="1">IF(AuswDipl0[[#This Row],[ZwGe_Höchst]]&lt;&gt;"",VLOOKUP(AuswDipl0[[#This Row],[Nummer]],_Diplom,$AK$6,FALSE),VLOOKUP(AuswDipl0[[#This Row],[Nummer]],_Diplom,$AK$6,FALSE))</f>
        <v>Zweites Gerät</v>
      </c>
      <c r="AL29" s="254" t="str">
        <f ca="1">VLOOKUP(AuswDipl0[[#This Row],[Nummer]],_Diplom,$AL$6,FALSE)</f>
        <v>nicht durchgeführt</v>
      </c>
      <c r="AM29" s="254" t="str">
        <f ca="1">IF(AuswDipl0[[#This Row],[ZwGe_Höchst]]&lt;&gt;"",AuswDipl0[[#This Row],[ZwGe_Höchst]],AuswDipl0[[#This Row],[ZwGe_Txt2]])</f>
        <v>nicht durchgeführt</v>
      </c>
      <c r="AN29" s="254" t="str">
        <f ca="1">VLOOKUP(AuswDipl0[[#This Row],[Nummer]],_Diplom,$AN$6,FALSE)</f>
        <v/>
      </c>
      <c r="AO29" s="254" t="str">
        <f>VLOOKUP(AuswDipl0[[#This Row],[Nummer]],_Diplom,$AO$6,FALSE)</f>
        <v/>
      </c>
      <c r="AP29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29" s="254" t="str">
        <f ca="1">VLOOKUP(AuswDipl0[[#This Row],[Nummer]],_Diplom,$AQ$6,FALSE)</f>
        <v/>
      </c>
      <c r="AR29" s="254" t="str">
        <f ca="1">IF(AuswDipl0[[#This Row],[DrGe_Höchst]]&lt;&gt;"",VLOOKUP(AuswDipl0[[#This Row],[Nummer]],_Diplom,$AR$6,FALSE),VLOOKUP(AuswDipl0[[#This Row],[Nummer]],_Diplom,$AR$6,FALSE))</f>
        <v>Drittes Gerät</v>
      </c>
      <c r="AS29" s="254" t="str">
        <f ca="1">VLOOKUP(AuswDipl0[[#This Row],[Nummer]],_Diplom,$AS$6,FALSE)</f>
        <v>nicht durchgeführt</v>
      </c>
      <c r="AT29" s="254" t="str">
        <f ca="1">IF(AuswDipl0[[#This Row],[DrGe_Höchst]]&lt;&gt;"",AuswDipl0[[#This Row],[DrGe_Höchst]],AuswDipl0[[#This Row],[DrGe_Txt2]])</f>
        <v>nicht durchgeführt</v>
      </c>
      <c r="AU29" s="254" t="str">
        <f ca="1">VLOOKUP(AuswDipl0[[#This Row],[Nummer]],_Diplom,$AU$6,FALSE)</f>
        <v/>
      </c>
      <c r="AV29" s="254" t="str">
        <f>VLOOKUP(AuswDipl0[[#This Row],[Nummer]],_Diplom,$AV$6,FALSE)</f>
        <v/>
      </c>
      <c r="AW29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29" s="254" t="str">
        <f ca="1">VLOOKUP(AuswDipl0[[#This Row],[Nummer]],_Diplom,$AX$6,FALSE)</f>
        <v/>
      </c>
      <c r="AY29" s="254" t="str">
        <f t="shared" si="0"/>
        <v>Parkour</v>
      </c>
      <c r="AZ29" s="254">
        <f ca="1">INDEX(INDIRECT($AZ$2),AuswDipl0[[#This Row],[Nummer]])</f>
        <v>0</v>
      </c>
      <c r="BA29" s="254" t="str">
        <f ca="1">IFERROR(IF(AuswDipl0[[#This Row],[ParkourPkte0]]&gt;0," "&amp;INDEX(INDIRECT($BA$2),MATCH($AY$1,INDIRECT($A$2),0)),""),"")</f>
        <v/>
      </c>
      <c r="BB29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29" s="254" t="str">
        <f ca="1">IF(AuswDipl0[[#This Row],[ParkourMax]]&lt;&gt;"",AuswDipl0[[#This Row],[ParkourMax]],Stammdaten!$AY$27)</f>
        <v>nicht durchgeführt</v>
      </c>
      <c r="BD29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29" s="254" t="str">
        <f ca="1">IF(AuswDipl0[[#This Row],[ParkourPkte1]]="","",VLOOKUP(AuswDipl0[[#This Row],[Nummer]],_Diplom,BE$6,FALSE))</f>
        <v/>
      </c>
      <c r="BF29" s="254" t="str">
        <f ca="1">VLOOKUP(AuswDipl0[[#This Row],[Nummer]],_Diplom,BF$6,FALSE)</f>
        <v>Darstellen und Tanzen</v>
      </c>
      <c r="BG29" s="254" t="str">
        <f ca="1">VLOOKUP(AuswDipl0[[#This Row],[Nummer]],_Diplom,BG$6,FALSE)</f>
        <v>nicht durchgeführt</v>
      </c>
      <c r="BH29" s="254" t="str">
        <f ca="1">IF(AuswDipl0[[#This Row],[BS_3_Max]]&lt;&gt;"",AuswDipl0[[#This Row],[BS_3_Max]],AuswDipl0[[#This Row],[BS_3_Txt1]])</f>
        <v>nicht durchgeführt</v>
      </c>
      <c r="BI29" s="254" t="str">
        <f ca="1">IF(VLOOKUP(AuswDipl0[[#This Row],[Nummer]],_Diplom,BI$6,FALSE)="","",VLOOKUP(AuswDipl0[[#This Row],[Nummer]],_Diplom,BI$6,FALSE))</f>
        <v/>
      </c>
      <c r="BJ29" s="254" t="str">
        <f ca="1">IF(AuswDipl0[[#This Row],[BS_3_Txt1]]=Stammdaten!$AX$19,AuswDipl0[[#This Row],[BS_3_Txt1]],AuswDipl0[[#This Row],[BS_3_Pkte0]]&amp;AuswDipl0[[#This Row],[BS_3_Mass]])</f>
        <v/>
      </c>
      <c r="BK29" s="254" t="str">
        <f ca="1">IFERROR(" "&amp;INDEX(INDIRECT($BK$2),MATCH(AuswDipl0[[#This Row],[BS_3_Txt0]],INDIRECT($A$2),0)),"")</f>
        <v/>
      </c>
      <c r="BL29" s="254" t="str">
        <f ca="1">VLOOKUP(AuswDipl0[[#This Row],[Nummer]],_Diplom,BL$6,FALSE)</f>
        <v/>
      </c>
      <c r="BM29" s="254" t="str">
        <f ca="1">IF(AuswDipl0[[#This Row],[ErSp_Höchst]]&lt;&gt;"",VLOOKUP(AuswDipl0[[#This Row],[Nummer]],_Diplom,$BM$6,FALSE),VLOOKUP(AuswDipl0[[#This Row],[Nummer]],_Diplom,$BM$6,FALSE))</f>
        <v>Erste Spielsportart</v>
      </c>
      <c r="BN29" s="254" t="str">
        <f ca="1">VLOOKUP(AuswDipl0[[#This Row],[Nummer]],_Diplom,$BN$6,FALSE)</f>
        <v>nicht durchgeführt</v>
      </c>
      <c r="BO29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29" s="254" t="str">
        <f ca="1">VLOOKUP(AuswDipl0[[#This Row],[Nummer]],_Diplom,$BP$6,FALSE)</f>
        <v/>
      </c>
      <c r="BQ29" s="254" t="str">
        <f ca="1">VLOOKUP(AuswDipl0[[#This Row],[Nummer]],_Diplom,$BQ$6,FALSE)</f>
        <v/>
      </c>
      <c r="BR29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29" s="254" t="str">
        <f ca="1">VLOOKUP(AuswDipl0[[#This Row],[Nummer]],_Diplom,$BS$6,FALSE)</f>
        <v/>
      </c>
      <c r="BT29" s="254" t="str">
        <f ca="1">VLOOKUP(AuswDipl0[[#This Row],[Nummer]],_Diplom,$BT$6,FALSE)</f>
        <v/>
      </c>
      <c r="BU29" s="254" t="str">
        <f ca="1">IF(AuswDipl0[[#This Row],[ZwSp_Höchst]]&lt;&gt;"",VLOOKUP(AuswDipl0[[#This Row],[Nummer]],_Diplom,$BU$6,FALSE),VLOOKUP(AuswDipl0[[#This Row],[Nummer]],_Diplom,$BU$6,FALSE))</f>
        <v>Zweite Spielsportart</v>
      </c>
      <c r="BV29" s="254" t="str">
        <f ca="1">VLOOKUP(AuswDipl0[[#This Row],[Nummer]],_Diplom,$BV$6,FALSE)</f>
        <v>nicht durchgeführt</v>
      </c>
      <c r="BW29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29" s="254" t="str">
        <f ca="1">VLOOKUP(AuswDipl0[[#This Row],[Nummer]],_Diplom,$BX$6,FALSE)</f>
        <v/>
      </c>
      <c r="BY29" s="254" t="str">
        <f ca="1">VLOOKUP(AuswDipl0[[#This Row],[Nummer]],_Diplom,$BY$6,FALSE)</f>
        <v/>
      </c>
      <c r="BZ29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29" s="254" t="str">
        <f ca="1">VLOOKUP(AuswDipl0[[#This Row],[Nummer]],_Diplom,$CA$6,FALSE)</f>
        <v/>
      </c>
      <c r="CB29" s="254" t="str">
        <f ca="1">VLOOKUP(AuswDipl0[[#This Row],[Nummer]],_Diplom,$CB$6,FALSE)</f>
        <v/>
      </c>
      <c r="CC29" s="254" t="str">
        <f ca="1">IF(AuswDipl0[[#This Row],[DrSp_Höchst]]&lt;&gt;"",VLOOKUP(AuswDipl0[[#This Row],[Nummer]],_Diplom,$CC$6,FALSE),VLOOKUP(AuswDipl0[[#This Row],[Nummer]],_Diplom,$CC$6,FALSE))</f>
        <v>Dritte Spielsportart</v>
      </c>
      <c r="CD29" s="254" t="str">
        <f ca="1">VLOOKUP(AuswDipl0[[#This Row],[Nummer]],_Diplom,$CD$6,FALSE)</f>
        <v>nicht durchgeführt</v>
      </c>
      <c r="CE29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29" s="254" t="str">
        <f ca="1">VLOOKUP(AuswDipl0[[#This Row],[Nummer]],_Diplom,$CF$6,FALSE)</f>
        <v/>
      </c>
      <c r="CG29" s="254" t="str">
        <f ca="1">VLOOKUP(AuswDipl0[[#This Row],[Nummer]],_Diplom,$CG$6,FALSE)</f>
        <v/>
      </c>
      <c r="CH29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29" s="254" t="str">
        <f ca="1">VLOOKUP(AuswDipl0[[#This Row],[Nummer]],_Diplom,$CI$6,FALSE)</f>
        <v/>
      </c>
      <c r="CJ29" s="254" t="str">
        <f ca="1">VLOOKUP(AuswDipl0[[#This Row],[Nummer]],_Diplom,$CJ$6,FALSE)</f>
        <v/>
      </c>
      <c r="CK29" s="254" t="str">
        <f ca="1">VLOOKUP(AuswDipl0[[#This Row],[Nummer]],_Diplom,CK$6,FALSE)</f>
        <v>Zu wenige Noten</v>
      </c>
      <c r="CL29" s="254">
        <f ca="1">VLOOKUP(AuswDipl0[[#This Row],[Nummer]],_Diplom,CL$6,FALSE)</f>
        <v>0</v>
      </c>
      <c r="CM29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29" s="254">
        <f ca="1">IFERROR(INDEX(INDIRECT($CN$4),MATCH(AuswDipl0[[#This Row],[BS_1_Med]],INDIRECT($CN$3),0)),6)</f>
        <v>6</v>
      </c>
      <c r="CO29" s="254" t="str">
        <f ca="1">VLOOKUP(AuswDipl0[[#This Row],[Nummer]],_Diplom,CO$6,FALSE)</f>
        <v>Zu wenige Noten</v>
      </c>
      <c r="CP29" s="254">
        <f>VLOOKUP(AuswDipl0[[#This Row],[Nummer]],_Diplom,CP$6,FALSE)</f>
        <v>0</v>
      </c>
      <c r="CQ29" s="254">
        <f ca="1">VLOOKUP(AuswDipl0[[#This Row],[Nummer]],_Diplom,CQ$6,FALSE)</f>
        <v>0</v>
      </c>
      <c r="CR29" s="254">
        <f ca="1">IF(AND(AuswDipl0[[#This Row],[BS_2_AnzGer]]&gt;=$CP$2,AND(ISNUMBER(AuswDipl0[[#This Row],[BS_2_Park]]),AuswDipl0[[#This Row],[BS_2_Park]]&gt;0)),1,0)</f>
        <v>0</v>
      </c>
      <c r="CS29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29" s="254">
        <f ca="1">IFERROR(INDEX(INDIRECT($CT$4),MATCH(AuswDipl0[[#This Row],[BS_2_Med]],INDIRECT($CT$3),0)),6)</f>
        <v>6</v>
      </c>
      <c r="CU29" s="254" t="str">
        <f ca="1">VLOOKUP(AuswDipl0[[#This Row],[Nummer]],_Diplom,CU$6,FALSE)</f>
        <v>Zu wenige Noten</v>
      </c>
      <c r="CV29" s="254">
        <f ca="1">IF(AuswDipl0[[#This Row],[BS_3_Erg]]=INDEX(StdFehler[StdFehler],4),0,IF(AuswDipl0[[#This Row],[BS_3_Erg]]=Stammdaten!$AX$19,Stammdaten!$AX$19,VALUE(AuswDipl0[[#This Row],[BS_3_Erg]])))</f>
        <v>0</v>
      </c>
      <c r="CW29" s="254" t="str">
        <f ca="1">IF(AuswDipl0[[#This Row],[BS_3_x]]=0,"",INDEX(INDIRECT(CW$4),MATCH(AuswDipl0[[#This Row],[BS_3_x]],INDIRECT(CW$3),0)))</f>
        <v/>
      </c>
      <c r="CX29" s="254">
        <f ca="1">IFERROR(INDEX(INDIRECT($CX$4),MATCH(AuswDipl0[[#This Row],[BS_3_Med]],INDIRECT($CX$3),0)),6)</f>
        <v>6</v>
      </c>
      <c r="CY29" s="254" t="str">
        <f ca="1">VLOOKUP(AuswDipl0[[#This Row],[Nummer]],_Diplom,CY$6,FALSE)</f>
        <v>Zu wenige Noten</v>
      </c>
      <c r="CZ29" s="254">
        <f ca="1">VLOOKUP(AuswDipl0[[#This Row],[Nummer]],_Diplom,CZ$6,FALSE)</f>
        <v>0</v>
      </c>
      <c r="DA29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29" s="254">
        <f ca="1">IFERROR(INDEX(INDIRECT($DB$4),MATCH(AuswDipl0[[#This Row],[BS_4_Med]],INDIRECT($DB$3),0)),6)</f>
        <v>6</v>
      </c>
    </row>
    <row r="30" spans="1:106" ht="12" customHeight="1" x14ac:dyDescent="0.25">
      <c r="A30" s="254">
        <v>24</v>
      </c>
      <c r="B30" s="254" t="str">
        <f ca="1">VLOOKUP(AuswDipl0[[#This Row],[Nummer]],_Diplom,B$6,FALSE)</f>
        <v>Sprintdisziplinen nicht durchgeführt</v>
      </c>
      <c r="C30" s="254" t="str">
        <f ca="1">IFERROR(VLOOKUP(AuswDipl0[[#This Row],[Sprint0]],INDIRECT($A$2),1,0),$B$4)</f>
        <v>Sprintdisziplinen</v>
      </c>
      <c r="D30" s="254" t="str">
        <f ca="1">IF(AuswDipl0[[#This Row],[Sprint00]]=$B$4,MID(AuswDipl0[[#This Row],[Sprint0]],FIND(" ",AuswDipl0[[#This Row],[Sprint0]],1)+1,LEN(AuswDipl0[[#This Row],[Sprint0]])),"")</f>
        <v>nicht durchgeführt</v>
      </c>
      <c r="E30" s="254" t="str">
        <f ca="1">IF(AuswDipl0[[#This Row],[Sprint000]]=Stammdaten!$AY$27,AuswDipl0[[#This Row],[Sprint000]],"")</f>
        <v>nicht durchgeführt</v>
      </c>
      <c r="F30" s="254" t="str">
        <f ca="1">IF(VLOOKUP(AuswDipl0[[#This Row],[Nummer]],_Diplom,F$6,FALSE)="",""," "&amp;VLOOKUP(AuswDipl0[[#This Row],[Nummer]],_Diplom,F$6,FALSE))</f>
        <v/>
      </c>
      <c r="G30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0" s="254" t="str">
        <f ca="1">IF(VLOOKUP(AuswDipl0[[#This Row],[Nummer]],_Diplom,H$6,FALSE)&lt;&gt;"","("&amp;VLOOKUP(AuswDipl0[[#This Row],[Nummer]],_Diplom,H$6,FALSE)&amp;")","")</f>
        <v/>
      </c>
      <c r="I30" s="254" t="str">
        <f ca="1">VLOOKUP(AuswDipl0[[#This Row],[Nummer]],_Diplom,I$6,FALSE)</f>
        <v>Ausdauerdisziplinen nicht durchgeführt</v>
      </c>
      <c r="J30" s="254" t="str">
        <f ca="1">IFERROR(VLOOKUP(AuswDipl0[[#This Row],[Ausdauer0]],INDIRECT($A$2),1,0),$I$4)</f>
        <v>Ausdauerdisziplinen</v>
      </c>
      <c r="K30" s="254" t="str">
        <f ca="1">IF(AuswDipl0[[#This Row],[Ausdauer00]]=$I$4,MID(AuswDipl0[[#This Row],[Ausdauer0]],FIND(" ",AuswDipl0[[#This Row],[Ausdauer0]],1)+1,LEN(AuswDipl0[[#This Row],[Ausdauer0]])),"")</f>
        <v>nicht durchgeführt</v>
      </c>
      <c r="L30" s="254" t="str">
        <f ca="1">IF(AuswDipl0[[#This Row],[Ausdauer000]]=Stammdaten!$AY$27,AuswDipl0[[#This Row],[Ausdauer000]],"")</f>
        <v>nicht durchgeführt</v>
      </c>
      <c r="M30" s="254" t="str">
        <f ca="1">IF(VLOOKUP(AuswDipl0[[#This Row],[Nummer]],_Diplom,M$6,FALSE)="",""," "&amp;VLOOKUP(AuswDipl0[[#This Row],[Nummer]],_Diplom,M$6,FALSE))</f>
        <v/>
      </c>
      <c r="N30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0" s="254" t="str">
        <f ca="1">IF(VLOOKUP(AuswDipl0[[#This Row],[Nummer]],_Diplom,O$6,FALSE)&lt;&gt;"","("&amp;VLOOKUP(AuswDipl0[[#This Row],[Nummer]],_Diplom,O$6,FALSE)&amp;")","")</f>
        <v/>
      </c>
      <c r="P30" s="254" t="str">
        <f ca="1">VLOOKUP(AuswDipl0[[#This Row],[Nummer]],_Diplom,P$6,FALSE)</f>
        <v>Sprungdisziplinen nicht durchgeführt</v>
      </c>
      <c r="Q30" s="254" t="str">
        <f ca="1">IFERROR(VLOOKUP(AuswDipl0[[#This Row],[Sprung0]],INDIRECT($A$2),1,0),$P$4)</f>
        <v>Sprungdisziplinen</v>
      </c>
      <c r="R30" s="254" t="str">
        <f ca="1">IF(AuswDipl0[[#This Row],[Sprung00]]=$P$4,MID(AuswDipl0[[#This Row],[Sprung0]],FIND(" ",AuswDipl0[[#This Row],[Sprung0]],1)+1,LEN(AuswDipl0[[#This Row],[Sprung0]])),"")</f>
        <v>nicht durchgeführt</v>
      </c>
      <c r="S30" s="254" t="str">
        <f ca="1">IF(AuswDipl0[[#This Row],[Sprung000]]=Stammdaten!$AY$27,AuswDipl0[[#This Row],[Sprung000]],"")</f>
        <v>nicht durchgeführt</v>
      </c>
      <c r="T30" s="254" t="str">
        <f ca="1">IF(VLOOKUP(AuswDipl0[[#This Row],[Nummer]],_Diplom,T$6,FALSE)="",""," "&amp;VLOOKUP(AuswDipl0[[#This Row],[Nummer]],_Diplom,T$6,FALSE))</f>
        <v/>
      </c>
      <c r="U30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0" s="254" t="str">
        <f ca="1">IF(VLOOKUP(AuswDipl0[[#This Row],[Nummer]],_Diplom,V$6,FALSE)&lt;&gt;"","("&amp;VLOOKUP(AuswDipl0[[#This Row],[Nummer]],_Diplom,V$6,FALSE)&amp;")","")</f>
        <v/>
      </c>
      <c r="W30" s="254" t="str">
        <f ca="1">VLOOKUP(AuswDipl0[[#This Row],[Nummer]],_Diplom,W$6,FALSE)</f>
        <v>Wurfdisziplinen nicht durchgeführt</v>
      </c>
      <c r="X30" s="254" t="str">
        <f ca="1">IFERROR(VLOOKUP(AuswDipl0[[#This Row],[Wurf0]],INDIRECT($A$2),1,0),$W$4)</f>
        <v>Wurfdisziplinen</v>
      </c>
      <c r="Y30" s="254" t="str">
        <f ca="1">IF(AuswDipl0[[#This Row],[Wurf00]]=$W$4,MID(AuswDipl0[[#This Row],[Wurf0]],FIND(" ",AuswDipl0[[#This Row],[Wurf0]],1)+1,LEN(AuswDipl0[[#This Row],[Wurf0]])),"")</f>
        <v>nicht durchgeführt</v>
      </c>
      <c r="Z30" s="254" t="str">
        <f ca="1">IF(AuswDipl0[[#This Row],[Wurf000]]=Stammdaten!$AY$27,AuswDipl0[[#This Row],[Wurf000]],"")</f>
        <v>nicht durchgeführt</v>
      </c>
      <c r="AA30" s="254" t="str">
        <f ca="1">IF(VLOOKUP(AuswDipl0[[#This Row],[Nummer]],_Diplom,AA$6,FALSE)="",""," "&amp;VLOOKUP(AuswDipl0[[#This Row],[Nummer]],_Diplom,AA$6,FALSE))</f>
        <v/>
      </c>
      <c r="AB30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0" s="254" t="str">
        <f ca="1">IF(VLOOKUP(AuswDipl0[[#This Row],[Nummer]],_Diplom,AC$6,FALSE)&lt;&gt;"","("&amp;VLOOKUP(AuswDipl0[[#This Row],[Nummer]],_Diplom,AC$6,FALSE)&amp;")","")</f>
        <v/>
      </c>
      <c r="AD30" s="254" t="str">
        <f ca="1">IF(AuswDipl0[[#This Row],[ErGe_Höchst]]&lt;&gt;"",VLOOKUP(AuswDipl0[[#This Row],[Nummer]],_Diplom,$AD$6,FALSE),VLOOKUP(AuswDipl0[[#This Row],[Nummer]],_Diplom,$AD$6,FALSE))</f>
        <v>Erstes Gerät</v>
      </c>
      <c r="AE30" s="254" t="str">
        <f ca="1">VLOOKUP(AuswDipl0[[#This Row],[Nummer]],_Diplom,$AE$6,FALSE)</f>
        <v>nicht durchgeführt</v>
      </c>
      <c r="AF30" s="254" t="str">
        <f ca="1">IF(AuswDipl0[[#This Row],[ErGe_Höchst]]&lt;&gt;"",AuswDipl0[[#This Row],[ErGe_Höchst]],AuswDipl0[[#This Row],[ErGe_Txt2]])</f>
        <v>nicht durchgeführt</v>
      </c>
      <c r="AG30" s="254" t="str">
        <f ca="1">VLOOKUP(AuswDipl0[[#This Row],[Nummer]],_Diplom,$AG$6,FALSE)</f>
        <v/>
      </c>
      <c r="AH30" s="254" t="str">
        <f>VLOOKUP(AuswDipl0[[#This Row],[Nummer]],_Diplom,$AH$6,FALSE)</f>
        <v/>
      </c>
      <c r="AI30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0" s="254" t="str">
        <f ca="1">VLOOKUP(AuswDipl0[[#This Row],[Nummer]],_Diplom,$AJ$6,FALSE)</f>
        <v/>
      </c>
      <c r="AK30" s="254" t="str">
        <f ca="1">IF(AuswDipl0[[#This Row],[ZwGe_Höchst]]&lt;&gt;"",VLOOKUP(AuswDipl0[[#This Row],[Nummer]],_Diplom,$AK$6,FALSE),VLOOKUP(AuswDipl0[[#This Row],[Nummer]],_Diplom,$AK$6,FALSE))</f>
        <v>Zweites Gerät</v>
      </c>
      <c r="AL30" s="254" t="str">
        <f ca="1">VLOOKUP(AuswDipl0[[#This Row],[Nummer]],_Diplom,$AL$6,FALSE)</f>
        <v>nicht durchgeführt</v>
      </c>
      <c r="AM30" s="254" t="str">
        <f ca="1">IF(AuswDipl0[[#This Row],[ZwGe_Höchst]]&lt;&gt;"",AuswDipl0[[#This Row],[ZwGe_Höchst]],AuswDipl0[[#This Row],[ZwGe_Txt2]])</f>
        <v>nicht durchgeführt</v>
      </c>
      <c r="AN30" s="254" t="str">
        <f ca="1">VLOOKUP(AuswDipl0[[#This Row],[Nummer]],_Diplom,$AN$6,FALSE)</f>
        <v/>
      </c>
      <c r="AO30" s="254" t="str">
        <f>VLOOKUP(AuswDipl0[[#This Row],[Nummer]],_Diplom,$AO$6,FALSE)</f>
        <v/>
      </c>
      <c r="AP30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0" s="254" t="str">
        <f ca="1">VLOOKUP(AuswDipl0[[#This Row],[Nummer]],_Diplom,$AQ$6,FALSE)</f>
        <v/>
      </c>
      <c r="AR30" s="254" t="str">
        <f ca="1">IF(AuswDipl0[[#This Row],[DrGe_Höchst]]&lt;&gt;"",VLOOKUP(AuswDipl0[[#This Row],[Nummer]],_Diplom,$AR$6,FALSE),VLOOKUP(AuswDipl0[[#This Row],[Nummer]],_Diplom,$AR$6,FALSE))</f>
        <v>Drittes Gerät</v>
      </c>
      <c r="AS30" s="254" t="str">
        <f ca="1">VLOOKUP(AuswDipl0[[#This Row],[Nummer]],_Diplom,$AS$6,FALSE)</f>
        <v>nicht durchgeführt</v>
      </c>
      <c r="AT30" s="254" t="str">
        <f ca="1">IF(AuswDipl0[[#This Row],[DrGe_Höchst]]&lt;&gt;"",AuswDipl0[[#This Row],[DrGe_Höchst]],AuswDipl0[[#This Row],[DrGe_Txt2]])</f>
        <v>nicht durchgeführt</v>
      </c>
      <c r="AU30" s="254" t="str">
        <f ca="1">VLOOKUP(AuswDipl0[[#This Row],[Nummer]],_Diplom,$AU$6,FALSE)</f>
        <v/>
      </c>
      <c r="AV30" s="254" t="str">
        <f>VLOOKUP(AuswDipl0[[#This Row],[Nummer]],_Diplom,$AV$6,FALSE)</f>
        <v/>
      </c>
      <c r="AW30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0" s="254" t="str">
        <f ca="1">VLOOKUP(AuswDipl0[[#This Row],[Nummer]],_Diplom,$AX$6,FALSE)</f>
        <v/>
      </c>
      <c r="AY30" s="254" t="str">
        <f t="shared" si="0"/>
        <v>Parkour</v>
      </c>
      <c r="AZ30" s="254">
        <f ca="1">INDEX(INDIRECT($AZ$2),AuswDipl0[[#This Row],[Nummer]])</f>
        <v>0</v>
      </c>
      <c r="BA30" s="254" t="str">
        <f ca="1">IFERROR(IF(AuswDipl0[[#This Row],[ParkourPkte0]]&gt;0," "&amp;INDEX(INDIRECT($BA$2),MATCH($AY$1,INDIRECT($A$2),0)),""),"")</f>
        <v/>
      </c>
      <c r="BB30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0" s="254" t="str">
        <f ca="1">IF(AuswDipl0[[#This Row],[ParkourMax]]&lt;&gt;"",AuswDipl0[[#This Row],[ParkourMax]],Stammdaten!$AY$27)</f>
        <v>nicht durchgeführt</v>
      </c>
      <c r="BD30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0" s="254" t="str">
        <f ca="1">IF(AuswDipl0[[#This Row],[ParkourPkte1]]="","",VLOOKUP(AuswDipl0[[#This Row],[Nummer]],_Diplom,BE$6,FALSE))</f>
        <v/>
      </c>
      <c r="BF30" s="254" t="str">
        <f ca="1">VLOOKUP(AuswDipl0[[#This Row],[Nummer]],_Diplom,BF$6,FALSE)</f>
        <v>Darstellen und Tanzen</v>
      </c>
      <c r="BG30" s="254" t="str">
        <f ca="1">VLOOKUP(AuswDipl0[[#This Row],[Nummer]],_Diplom,BG$6,FALSE)</f>
        <v>nicht durchgeführt</v>
      </c>
      <c r="BH30" s="254" t="str">
        <f ca="1">IF(AuswDipl0[[#This Row],[BS_3_Max]]&lt;&gt;"",AuswDipl0[[#This Row],[BS_3_Max]],AuswDipl0[[#This Row],[BS_3_Txt1]])</f>
        <v>nicht durchgeführt</v>
      </c>
      <c r="BI30" s="254" t="str">
        <f ca="1">IF(VLOOKUP(AuswDipl0[[#This Row],[Nummer]],_Diplom,BI$6,FALSE)="","",VLOOKUP(AuswDipl0[[#This Row],[Nummer]],_Diplom,BI$6,FALSE))</f>
        <v/>
      </c>
      <c r="BJ30" s="254" t="str">
        <f ca="1">IF(AuswDipl0[[#This Row],[BS_3_Txt1]]=Stammdaten!$AX$19,AuswDipl0[[#This Row],[BS_3_Txt1]],AuswDipl0[[#This Row],[BS_3_Pkte0]]&amp;AuswDipl0[[#This Row],[BS_3_Mass]])</f>
        <v/>
      </c>
      <c r="BK30" s="254" t="str">
        <f ca="1">IFERROR(" "&amp;INDEX(INDIRECT($BK$2),MATCH(AuswDipl0[[#This Row],[BS_3_Txt0]],INDIRECT($A$2),0)),"")</f>
        <v/>
      </c>
      <c r="BL30" s="254" t="str">
        <f ca="1">VLOOKUP(AuswDipl0[[#This Row],[Nummer]],_Diplom,BL$6,FALSE)</f>
        <v/>
      </c>
      <c r="BM30" s="254" t="str">
        <f ca="1">IF(AuswDipl0[[#This Row],[ErSp_Höchst]]&lt;&gt;"",VLOOKUP(AuswDipl0[[#This Row],[Nummer]],_Diplom,$BM$6,FALSE),VLOOKUP(AuswDipl0[[#This Row],[Nummer]],_Diplom,$BM$6,FALSE))</f>
        <v>Erste Spielsportart</v>
      </c>
      <c r="BN30" s="254" t="str">
        <f ca="1">VLOOKUP(AuswDipl0[[#This Row],[Nummer]],_Diplom,$BN$6,FALSE)</f>
        <v>nicht durchgeführt</v>
      </c>
      <c r="BO30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0" s="254" t="str">
        <f ca="1">VLOOKUP(AuswDipl0[[#This Row],[Nummer]],_Diplom,$BP$6,FALSE)</f>
        <v/>
      </c>
      <c r="BQ30" s="254" t="str">
        <f ca="1">VLOOKUP(AuswDipl0[[#This Row],[Nummer]],_Diplom,$BQ$6,FALSE)</f>
        <v/>
      </c>
      <c r="BR30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0" s="254" t="str">
        <f ca="1">VLOOKUP(AuswDipl0[[#This Row],[Nummer]],_Diplom,$BS$6,FALSE)</f>
        <v/>
      </c>
      <c r="BT30" s="254" t="str">
        <f ca="1">VLOOKUP(AuswDipl0[[#This Row],[Nummer]],_Diplom,$BT$6,FALSE)</f>
        <v/>
      </c>
      <c r="BU30" s="254" t="str">
        <f ca="1">IF(AuswDipl0[[#This Row],[ZwSp_Höchst]]&lt;&gt;"",VLOOKUP(AuswDipl0[[#This Row],[Nummer]],_Diplom,$BU$6,FALSE),VLOOKUP(AuswDipl0[[#This Row],[Nummer]],_Diplom,$BU$6,FALSE))</f>
        <v>Zweite Spielsportart</v>
      </c>
      <c r="BV30" s="254" t="str">
        <f ca="1">VLOOKUP(AuswDipl0[[#This Row],[Nummer]],_Diplom,$BV$6,FALSE)</f>
        <v>nicht durchgeführt</v>
      </c>
      <c r="BW30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0" s="254" t="str">
        <f ca="1">VLOOKUP(AuswDipl0[[#This Row],[Nummer]],_Diplom,$BX$6,FALSE)</f>
        <v/>
      </c>
      <c r="BY30" s="254" t="str">
        <f ca="1">VLOOKUP(AuswDipl0[[#This Row],[Nummer]],_Diplom,$BY$6,FALSE)</f>
        <v/>
      </c>
      <c r="BZ30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0" s="254" t="str">
        <f ca="1">VLOOKUP(AuswDipl0[[#This Row],[Nummer]],_Diplom,$CA$6,FALSE)</f>
        <v/>
      </c>
      <c r="CB30" s="254" t="str">
        <f ca="1">VLOOKUP(AuswDipl0[[#This Row],[Nummer]],_Diplom,$CB$6,FALSE)</f>
        <v/>
      </c>
      <c r="CC30" s="254" t="str">
        <f ca="1">IF(AuswDipl0[[#This Row],[DrSp_Höchst]]&lt;&gt;"",VLOOKUP(AuswDipl0[[#This Row],[Nummer]],_Diplom,$CC$6,FALSE),VLOOKUP(AuswDipl0[[#This Row],[Nummer]],_Diplom,$CC$6,FALSE))</f>
        <v>Dritte Spielsportart</v>
      </c>
      <c r="CD30" s="254" t="str">
        <f ca="1">VLOOKUP(AuswDipl0[[#This Row],[Nummer]],_Diplom,$CD$6,FALSE)</f>
        <v>nicht durchgeführt</v>
      </c>
      <c r="CE30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0" s="254" t="str">
        <f ca="1">VLOOKUP(AuswDipl0[[#This Row],[Nummer]],_Diplom,$CF$6,FALSE)</f>
        <v/>
      </c>
      <c r="CG30" s="254" t="str">
        <f ca="1">VLOOKUP(AuswDipl0[[#This Row],[Nummer]],_Diplom,$CG$6,FALSE)</f>
        <v/>
      </c>
      <c r="CH30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0" s="254" t="str">
        <f ca="1">VLOOKUP(AuswDipl0[[#This Row],[Nummer]],_Diplom,$CI$6,FALSE)</f>
        <v/>
      </c>
      <c r="CJ30" s="254" t="str">
        <f ca="1">VLOOKUP(AuswDipl0[[#This Row],[Nummer]],_Diplom,$CJ$6,FALSE)</f>
        <v/>
      </c>
      <c r="CK30" s="254" t="str">
        <f ca="1">VLOOKUP(AuswDipl0[[#This Row],[Nummer]],_Diplom,CK$6,FALSE)</f>
        <v>Zu wenige Noten</v>
      </c>
      <c r="CL30" s="254">
        <f ca="1">VLOOKUP(AuswDipl0[[#This Row],[Nummer]],_Diplom,CL$6,FALSE)</f>
        <v>0</v>
      </c>
      <c r="CM30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0" s="254">
        <f ca="1">IFERROR(INDEX(INDIRECT($CN$4),MATCH(AuswDipl0[[#This Row],[BS_1_Med]],INDIRECT($CN$3),0)),6)</f>
        <v>6</v>
      </c>
      <c r="CO30" s="254" t="str">
        <f ca="1">VLOOKUP(AuswDipl0[[#This Row],[Nummer]],_Diplom,CO$6,FALSE)</f>
        <v>Zu wenige Noten</v>
      </c>
      <c r="CP30" s="254">
        <f>VLOOKUP(AuswDipl0[[#This Row],[Nummer]],_Diplom,CP$6,FALSE)</f>
        <v>0</v>
      </c>
      <c r="CQ30" s="254">
        <f ca="1">VLOOKUP(AuswDipl0[[#This Row],[Nummer]],_Diplom,CQ$6,FALSE)</f>
        <v>0</v>
      </c>
      <c r="CR30" s="254">
        <f ca="1">IF(AND(AuswDipl0[[#This Row],[BS_2_AnzGer]]&gt;=$CP$2,AND(ISNUMBER(AuswDipl0[[#This Row],[BS_2_Park]]),AuswDipl0[[#This Row],[BS_2_Park]]&gt;0)),1,0)</f>
        <v>0</v>
      </c>
      <c r="CS30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0" s="254">
        <f ca="1">IFERROR(INDEX(INDIRECT($CT$4),MATCH(AuswDipl0[[#This Row],[BS_2_Med]],INDIRECT($CT$3),0)),6)</f>
        <v>6</v>
      </c>
      <c r="CU30" s="254" t="str">
        <f ca="1">VLOOKUP(AuswDipl0[[#This Row],[Nummer]],_Diplom,CU$6,FALSE)</f>
        <v>Zu wenige Noten</v>
      </c>
      <c r="CV30" s="254">
        <f ca="1">IF(AuswDipl0[[#This Row],[BS_3_Erg]]=INDEX(StdFehler[StdFehler],4),0,IF(AuswDipl0[[#This Row],[BS_3_Erg]]=Stammdaten!$AX$19,Stammdaten!$AX$19,VALUE(AuswDipl0[[#This Row],[BS_3_Erg]])))</f>
        <v>0</v>
      </c>
      <c r="CW30" s="254" t="str">
        <f ca="1">IF(AuswDipl0[[#This Row],[BS_3_x]]=0,"",INDEX(INDIRECT(CW$4),MATCH(AuswDipl0[[#This Row],[BS_3_x]],INDIRECT(CW$3),0)))</f>
        <v/>
      </c>
      <c r="CX30" s="254">
        <f ca="1">IFERROR(INDEX(INDIRECT($CX$4),MATCH(AuswDipl0[[#This Row],[BS_3_Med]],INDIRECT($CX$3),0)),6)</f>
        <v>6</v>
      </c>
      <c r="CY30" s="254" t="str">
        <f ca="1">VLOOKUP(AuswDipl0[[#This Row],[Nummer]],_Diplom,CY$6,FALSE)</f>
        <v>Zu wenige Noten</v>
      </c>
      <c r="CZ30" s="254">
        <f ca="1">VLOOKUP(AuswDipl0[[#This Row],[Nummer]],_Diplom,CZ$6,FALSE)</f>
        <v>0</v>
      </c>
      <c r="DA30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0" s="254">
        <f ca="1">IFERROR(INDEX(INDIRECT($DB$4),MATCH(AuswDipl0[[#This Row],[BS_4_Med]],INDIRECT($DB$3),0)),6)</f>
        <v>6</v>
      </c>
    </row>
    <row r="31" spans="1:106" ht="12" customHeight="1" x14ac:dyDescent="0.25">
      <c r="A31" s="254">
        <v>25</v>
      </c>
      <c r="B31" s="254" t="str">
        <f ca="1">VLOOKUP(AuswDipl0[[#This Row],[Nummer]],_Diplom,B$6,FALSE)</f>
        <v>Sprintdisziplinen nicht durchgeführt</v>
      </c>
      <c r="C31" s="254" t="str">
        <f ca="1">IFERROR(VLOOKUP(AuswDipl0[[#This Row],[Sprint0]],INDIRECT($A$2),1,0),$B$4)</f>
        <v>Sprintdisziplinen</v>
      </c>
      <c r="D31" s="254" t="str">
        <f ca="1">IF(AuswDipl0[[#This Row],[Sprint00]]=$B$4,MID(AuswDipl0[[#This Row],[Sprint0]],FIND(" ",AuswDipl0[[#This Row],[Sprint0]],1)+1,LEN(AuswDipl0[[#This Row],[Sprint0]])),"")</f>
        <v>nicht durchgeführt</v>
      </c>
      <c r="E31" s="254" t="str">
        <f ca="1">IF(AuswDipl0[[#This Row],[Sprint000]]=Stammdaten!$AY$27,AuswDipl0[[#This Row],[Sprint000]],"")</f>
        <v>nicht durchgeführt</v>
      </c>
      <c r="F31" s="254" t="str">
        <f ca="1">IF(VLOOKUP(AuswDipl0[[#This Row],[Nummer]],_Diplom,F$6,FALSE)="",""," "&amp;VLOOKUP(AuswDipl0[[#This Row],[Nummer]],_Diplom,F$6,FALSE))</f>
        <v/>
      </c>
      <c r="G31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1" s="254" t="str">
        <f ca="1">IF(VLOOKUP(AuswDipl0[[#This Row],[Nummer]],_Diplom,H$6,FALSE)&lt;&gt;"","("&amp;VLOOKUP(AuswDipl0[[#This Row],[Nummer]],_Diplom,H$6,FALSE)&amp;")","")</f>
        <v/>
      </c>
      <c r="I31" s="254" t="str">
        <f ca="1">VLOOKUP(AuswDipl0[[#This Row],[Nummer]],_Diplom,I$6,FALSE)</f>
        <v>Ausdauerdisziplinen nicht durchgeführt</v>
      </c>
      <c r="J31" s="254" t="str">
        <f ca="1">IFERROR(VLOOKUP(AuswDipl0[[#This Row],[Ausdauer0]],INDIRECT($A$2),1,0),$I$4)</f>
        <v>Ausdauerdisziplinen</v>
      </c>
      <c r="K31" s="254" t="str">
        <f ca="1">IF(AuswDipl0[[#This Row],[Ausdauer00]]=$I$4,MID(AuswDipl0[[#This Row],[Ausdauer0]],FIND(" ",AuswDipl0[[#This Row],[Ausdauer0]],1)+1,LEN(AuswDipl0[[#This Row],[Ausdauer0]])),"")</f>
        <v>nicht durchgeführt</v>
      </c>
      <c r="L31" s="254" t="str">
        <f ca="1">IF(AuswDipl0[[#This Row],[Ausdauer000]]=Stammdaten!$AY$27,AuswDipl0[[#This Row],[Ausdauer000]],"")</f>
        <v>nicht durchgeführt</v>
      </c>
      <c r="M31" s="254" t="str">
        <f ca="1">IF(VLOOKUP(AuswDipl0[[#This Row],[Nummer]],_Diplom,M$6,FALSE)="",""," "&amp;VLOOKUP(AuswDipl0[[#This Row],[Nummer]],_Diplom,M$6,FALSE))</f>
        <v/>
      </c>
      <c r="N31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1" s="254" t="str">
        <f ca="1">IF(VLOOKUP(AuswDipl0[[#This Row],[Nummer]],_Diplom,O$6,FALSE)&lt;&gt;"","("&amp;VLOOKUP(AuswDipl0[[#This Row],[Nummer]],_Diplom,O$6,FALSE)&amp;")","")</f>
        <v/>
      </c>
      <c r="P31" s="254" t="str">
        <f ca="1">VLOOKUP(AuswDipl0[[#This Row],[Nummer]],_Diplom,P$6,FALSE)</f>
        <v>Sprungdisziplinen nicht durchgeführt</v>
      </c>
      <c r="Q31" s="254" t="str">
        <f ca="1">IFERROR(VLOOKUP(AuswDipl0[[#This Row],[Sprung0]],INDIRECT($A$2),1,0),$P$4)</f>
        <v>Sprungdisziplinen</v>
      </c>
      <c r="R31" s="254" t="str">
        <f ca="1">IF(AuswDipl0[[#This Row],[Sprung00]]=$P$4,MID(AuswDipl0[[#This Row],[Sprung0]],FIND(" ",AuswDipl0[[#This Row],[Sprung0]],1)+1,LEN(AuswDipl0[[#This Row],[Sprung0]])),"")</f>
        <v>nicht durchgeführt</v>
      </c>
      <c r="S31" s="254" t="str">
        <f ca="1">IF(AuswDipl0[[#This Row],[Sprung000]]=Stammdaten!$AY$27,AuswDipl0[[#This Row],[Sprung000]],"")</f>
        <v>nicht durchgeführt</v>
      </c>
      <c r="T31" s="254" t="str">
        <f ca="1">IF(VLOOKUP(AuswDipl0[[#This Row],[Nummer]],_Diplom,T$6,FALSE)="",""," "&amp;VLOOKUP(AuswDipl0[[#This Row],[Nummer]],_Diplom,T$6,FALSE))</f>
        <v/>
      </c>
      <c r="U31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1" s="254" t="str">
        <f ca="1">IF(VLOOKUP(AuswDipl0[[#This Row],[Nummer]],_Diplom,V$6,FALSE)&lt;&gt;"","("&amp;VLOOKUP(AuswDipl0[[#This Row],[Nummer]],_Diplom,V$6,FALSE)&amp;")","")</f>
        <v/>
      </c>
      <c r="W31" s="254" t="str">
        <f ca="1">VLOOKUP(AuswDipl0[[#This Row],[Nummer]],_Diplom,W$6,FALSE)</f>
        <v>Wurfdisziplinen nicht durchgeführt</v>
      </c>
      <c r="X31" s="254" t="str">
        <f ca="1">IFERROR(VLOOKUP(AuswDipl0[[#This Row],[Wurf0]],INDIRECT($A$2),1,0),$W$4)</f>
        <v>Wurfdisziplinen</v>
      </c>
      <c r="Y31" s="254" t="str">
        <f ca="1">IF(AuswDipl0[[#This Row],[Wurf00]]=$W$4,MID(AuswDipl0[[#This Row],[Wurf0]],FIND(" ",AuswDipl0[[#This Row],[Wurf0]],1)+1,LEN(AuswDipl0[[#This Row],[Wurf0]])),"")</f>
        <v>nicht durchgeführt</v>
      </c>
      <c r="Z31" s="254" t="str">
        <f ca="1">IF(AuswDipl0[[#This Row],[Wurf000]]=Stammdaten!$AY$27,AuswDipl0[[#This Row],[Wurf000]],"")</f>
        <v>nicht durchgeführt</v>
      </c>
      <c r="AA31" s="254" t="str">
        <f ca="1">IF(VLOOKUP(AuswDipl0[[#This Row],[Nummer]],_Diplom,AA$6,FALSE)="",""," "&amp;VLOOKUP(AuswDipl0[[#This Row],[Nummer]],_Diplom,AA$6,FALSE))</f>
        <v/>
      </c>
      <c r="AB31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1" s="254" t="str">
        <f ca="1">IF(VLOOKUP(AuswDipl0[[#This Row],[Nummer]],_Diplom,AC$6,FALSE)&lt;&gt;"","("&amp;VLOOKUP(AuswDipl0[[#This Row],[Nummer]],_Diplom,AC$6,FALSE)&amp;")","")</f>
        <v/>
      </c>
      <c r="AD31" s="254" t="str">
        <f ca="1">IF(AuswDipl0[[#This Row],[ErGe_Höchst]]&lt;&gt;"",VLOOKUP(AuswDipl0[[#This Row],[Nummer]],_Diplom,$AD$6,FALSE),VLOOKUP(AuswDipl0[[#This Row],[Nummer]],_Diplom,$AD$6,FALSE))</f>
        <v>Erstes Gerät</v>
      </c>
      <c r="AE31" s="254" t="str">
        <f ca="1">VLOOKUP(AuswDipl0[[#This Row],[Nummer]],_Diplom,$AE$6,FALSE)</f>
        <v>nicht durchgeführt</v>
      </c>
      <c r="AF31" s="254" t="str">
        <f ca="1">IF(AuswDipl0[[#This Row],[ErGe_Höchst]]&lt;&gt;"",AuswDipl0[[#This Row],[ErGe_Höchst]],AuswDipl0[[#This Row],[ErGe_Txt2]])</f>
        <v>nicht durchgeführt</v>
      </c>
      <c r="AG31" s="254" t="str">
        <f ca="1">VLOOKUP(AuswDipl0[[#This Row],[Nummer]],_Diplom,$AG$6,FALSE)</f>
        <v/>
      </c>
      <c r="AH31" s="254" t="str">
        <f>VLOOKUP(AuswDipl0[[#This Row],[Nummer]],_Diplom,$AH$6,FALSE)</f>
        <v/>
      </c>
      <c r="AI31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1" s="254" t="str">
        <f ca="1">VLOOKUP(AuswDipl0[[#This Row],[Nummer]],_Diplom,$AJ$6,FALSE)</f>
        <v/>
      </c>
      <c r="AK31" s="254" t="str">
        <f ca="1">IF(AuswDipl0[[#This Row],[ZwGe_Höchst]]&lt;&gt;"",VLOOKUP(AuswDipl0[[#This Row],[Nummer]],_Diplom,$AK$6,FALSE),VLOOKUP(AuswDipl0[[#This Row],[Nummer]],_Diplom,$AK$6,FALSE))</f>
        <v>Zweites Gerät</v>
      </c>
      <c r="AL31" s="254" t="str">
        <f ca="1">VLOOKUP(AuswDipl0[[#This Row],[Nummer]],_Diplom,$AL$6,FALSE)</f>
        <v>nicht durchgeführt</v>
      </c>
      <c r="AM31" s="254" t="str">
        <f ca="1">IF(AuswDipl0[[#This Row],[ZwGe_Höchst]]&lt;&gt;"",AuswDipl0[[#This Row],[ZwGe_Höchst]],AuswDipl0[[#This Row],[ZwGe_Txt2]])</f>
        <v>nicht durchgeführt</v>
      </c>
      <c r="AN31" s="254" t="str">
        <f ca="1">VLOOKUP(AuswDipl0[[#This Row],[Nummer]],_Diplom,$AN$6,FALSE)</f>
        <v/>
      </c>
      <c r="AO31" s="254" t="str">
        <f>VLOOKUP(AuswDipl0[[#This Row],[Nummer]],_Diplom,$AO$6,FALSE)</f>
        <v/>
      </c>
      <c r="AP31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1" s="254" t="str">
        <f ca="1">VLOOKUP(AuswDipl0[[#This Row],[Nummer]],_Diplom,$AQ$6,FALSE)</f>
        <v/>
      </c>
      <c r="AR31" s="254" t="str">
        <f ca="1">IF(AuswDipl0[[#This Row],[DrGe_Höchst]]&lt;&gt;"",VLOOKUP(AuswDipl0[[#This Row],[Nummer]],_Diplom,$AR$6,FALSE),VLOOKUP(AuswDipl0[[#This Row],[Nummer]],_Diplom,$AR$6,FALSE))</f>
        <v>Drittes Gerät</v>
      </c>
      <c r="AS31" s="254" t="str">
        <f ca="1">VLOOKUP(AuswDipl0[[#This Row],[Nummer]],_Diplom,$AS$6,FALSE)</f>
        <v>nicht durchgeführt</v>
      </c>
      <c r="AT31" s="254" t="str">
        <f ca="1">IF(AuswDipl0[[#This Row],[DrGe_Höchst]]&lt;&gt;"",AuswDipl0[[#This Row],[DrGe_Höchst]],AuswDipl0[[#This Row],[DrGe_Txt2]])</f>
        <v>nicht durchgeführt</v>
      </c>
      <c r="AU31" s="254" t="str">
        <f ca="1">VLOOKUP(AuswDipl0[[#This Row],[Nummer]],_Diplom,$AU$6,FALSE)</f>
        <v/>
      </c>
      <c r="AV31" s="254" t="str">
        <f>VLOOKUP(AuswDipl0[[#This Row],[Nummer]],_Diplom,$AV$6,FALSE)</f>
        <v/>
      </c>
      <c r="AW31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1" s="254" t="str">
        <f ca="1">VLOOKUP(AuswDipl0[[#This Row],[Nummer]],_Diplom,$AX$6,FALSE)</f>
        <v/>
      </c>
      <c r="AY31" s="254" t="str">
        <f t="shared" si="0"/>
        <v>Parkour</v>
      </c>
      <c r="AZ31" s="254">
        <f ca="1">INDEX(INDIRECT($AZ$2),AuswDipl0[[#This Row],[Nummer]])</f>
        <v>0</v>
      </c>
      <c r="BA31" s="254" t="str">
        <f ca="1">IFERROR(IF(AuswDipl0[[#This Row],[ParkourPkte0]]&gt;0," "&amp;INDEX(INDIRECT($BA$2),MATCH($AY$1,INDIRECT($A$2),0)),""),"")</f>
        <v/>
      </c>
      <c r="BB31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1" s="254" t="str">
        <f ca="1">IF(AuswDipl0[[#This Row],[ParkourMax]]&lt;&gt;"",AuswDipl0[[#This Row],[ParkourMax]],Stammdaten!$AY$27)</f>
        <v>nicht durchgeführt</v>
      </c>
      <c r="BD31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1" s="254" t="str">
        <f ca="1">IF(AuswDipl0[[#This Row],[ParkourPkte1]]="","",VLOOKUP(AuswDipl0[[#This Row],[Nummer]],_Diplom,BE$6,FALSE))</f>
        <v/>
      </c>
      <c r="BF31" s="254" t="str">
        <f ca="1">VLOOKUP(AuswDipl0[[#This Row],[Nummer]],_Diplom,BF$6,FALSE)</f>
        <v>Darstellen und Tanzen</v>
      </c>
      <c r="BG31" s="254" t="str">
        <f ca="1">VLOOKUP(AuswDipl0[[#This Row],[Nummer]],_Diplom,BG$6,FALSE)</f>
        <v>nicht durchgeführt</v>
      </c>
      <c r="BH31" s="254" t="str">
        <f ca="1">IF(AuswDipl0[[#This Row],[BS_3_Max]]&lt;&gt;"",AuswDipl0[[#This Row],[BS_3_Max]],AuswDipl0[[#This Row],[BS_3_Txt1]])</f>
        <v>nicht durchgeführt</v>
      </c>
      <c r="BI31" s="254" t="str">
        <f ca="1">IF(VLOOKUP(AuswDipl0[[#This Row],[Nummer]],_Diplom,BI$6,FALSE)="","",VLOOKUP(AuswDipl0[[#This Row],[Nummer]],_Diplom,BI$6,FALSE))</f>
        <v/>
      </c>
      <c r="BJ31" s="254" t="str">
        <f ca="1">IF(AuswDipl0[[#This Row],[BS_3_Txt1]]=Stammdaten!$AX$19,AuswDipl0[[#This Row],[BS_3_Txt1]],AuswDipl0[[#This Row],[BS_3_Pkte0]]&amp;AuswDipl0[[#This Row],[BS_3_Mass]])</f>
        <v/>
      </c>
      <c r="BK31" s="254" t="str">
        <f ca="1">IFERROR(" "&amp;INDEX(INDIRECT($BK$2),MATCH(AuswDipl0[[#This Row],[BS_3_Txt0]],INDIRECT($A$2),0)),"")</f>
        <v/>
      </c>
      <c r="BL31" s="254" t="str">
        <f ca="1">VLOOKUP(AuswDipl0[[#This Row],[Nummer]],_Diplom,BL$6,FALSE)</f>
        <v/>
      </c>
      <c r="BM31" s="254" t="str">
        <f ca="1">IF(AuswDipl0[[#This Row],[ErSp_Höchst]]&lt;&gt;"",VLOOKUP(AuswDipl0[[#This Row],[Nummer]],_Diplom,$BM$6,FALSE),VLOOKUP(AuswDipl0[[#This Row],[Nummer]],_Diplom,$BM$6,FALSE))</f>
        <v>Erste Spielsportart</v>
      </c>
      <c r="BN31" s="254" t="str">
        <f ca="1">VLOOKUP(AuswDipl0[[#This Row],[Nummer]],_Diplom,$BN$6,FALSE)</f>
        <v>nicht durchgeführt</v>
      </c>
      <c r="BO31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1" s="254" t="str">
        <f ca="1">VLOOKUP(AuswDipl0[[#This Row],[Nummer]],_Diplom,$BP$6,FALSE)</f>
        <v/>
      </c>
      <c r="BQ31" s="254" t="str">
        <f ca="1">VLOOKUP(AuswDipl0[[#This Row],[Nummer]],_Diplom,$BQ$6,FALSE)</f>
        <v/>
      </c>
      <c r="BR31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1" s="254" t="str">
        <f ca="1">VLOOKUP(AuswDipl0[[#This Row],[Nummer]],_Diplom,$BS$6,FALSE)</f>
        <v/>
      </c>
      <c r="BT31" s="254" t="str">
        <f ca="1">VLOOKUP(AuswDipl0[[#This Row],[Nummer]],_Diplom,$BT$6,FALSE)</f>
        <v/>
      </c>
      <c r="BU31" s="254" t="str">
        <f ca="1">IF(AuswDipl0[[#This Row],[ZwSp_Höchst]]&lt;&gt;"",VLOOKUP(AuswDipl0[[#This Row],[Nummer]],_Diplom,$BU$6,FALSE),VLOOKUP(AuswDipl0[[#This Row],[Nummer]],_Diplom,$BU$6,FALSE))</f>
        <v>Zweite Spielsportart</v>
      </c>
      <c r="BV31" s="254" t="str">
        <f ca="1">VLOOKUP(AuswDipl0[[#This Row],[Nummer]],_Diplom,$BV$6,FALSE)</f>
        <v>nicht durchgeführt</v>
      </c>
      <c r="BW31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1" s="254" t="str">
        <f ca="1">VLOOKUP(AuswDipl0[[#This Row],[Nummer]],_Diplom,$BX$6,FALSE)</f>
        <v/>
      </c>
      <c r="BY31" s="254" t="str">
        <f ca="1">VLOOKUP(AuswDipl0[[#This Row],[Nummer]],_Diplom,$BY$6,FALSE)</f>
        <v/>
      </c>
      <c r="BZ31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1" s="254" t="str">
        <f ca="1">VLOOKUP(AuswDipl0[[#This Row],[Nummer]],_Diplom,$CA$6,FALSE)</f>
        <v/>
      </c>
      <c r="CB31" s="254" t="str">
        <f ca="1">VLOOKUP(AuswDipl0[[#This Row],[Nummer]],_Diplom,$CB$6,FALSE)</f>
        <v/>
      </c>
      <c r="CC31" s="254" t="str">
        <f ca="1">IF(AuswDipl0[[#This Row],[DrSp_Höchst]]&lt;&gt;"",VLOOKUP(AuswDipl0[[#This Row],[Nummer]],_Diplom,$CC$6,FALSE),VLOOKUP(AuswDipl0[[#This Row],[Nummer]],_Diplom,$CC$6,FALSE))</f>
        <v>Dritte Spielsportart</v>
      </c>
      <c r="CD31" s="254" t="str">
        <f ca="1">VLOOKUP(AuswDipl0[[#This Row],[Nummer]],_Diplom,$CD$6,FALSE)</f>
        <v>nicht durchgeführt</v>
      </c>
      <c r="CE31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1" s="254" t="str">
        <f ca="1">VLOOKUP(AuswDipl0[[#This Row],[Nummer]],_Diplom,$CF$6,FALSE)</f>
        <v/>
      </c>
      <c r="CG31" s="254" t="str">
        <f ca="1">VLOOKUP(AuswDipl0[[#This Row],[Nummer]],_Diplom,$CG$6,FALSE)</f>
        <v/>
      </c>
      <c r="CH31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1" s="254" t="str">
        <f ca="1">VLOOKUP(AuswDipl0[[#This Row],[Nummer]],_Diplom,$CI$6,FALSE)</f>
        <v/>
      </c>
      <c r="CJ31" s="254" t="str">
        <f ca="1">VLOOKUP(AuswDipl0[[#This Row],[Nummer]],_Diplom,$CJ$6,FALSE)</f>
        <v/>
      </c>
      <c r="CK31" s="254" t="str">
        <f ca="1">VLOOKUP(AuswDipl0[[#This Row],[Nummer]],_Diplom,CK$6,FALSE)</f>
        <v>Zu wenige Noten</v>
      </c>
      <c r="CL31" s="254">
        <f ca="1">VLOOKUP(AuswDipl0[[#This Row],[Nummer]],_Diplom,CL$6,FALSE)</f>
        <v>0</v>
      </c>
      <c r="CM31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1" s="254">
        <f ca="1">IFERROR(INDEX(INDIRECT($CN$4),MATCH(AuswDipl0[[#This Row],[BS_1_Med]],INDIRECT($CN$3),0)),6)</f>
        <v>6</v>
      </c>
      <c r="CO31" s="254" t="str">
        <f ca="1">VLOOKUP(AuswDipl0[[#This Row],[Nummer]],_Diplom,CO$6,FALSE)</f>
        <v>Zu wenige Noten</v>
      </c>
      <c r="CP31" s="254">
        <f>VLOOKUP(AuswDipl0[[#This Row],[Nummer]],_Diplom,CP$6,FALSE)</f>
        <v>0</v>
      </c>
      <c r="CQ31" s="254">
        <f ca="1">VLOOKUP(AuswDipl0[[#This Row],[Nummer]],_Diplom,CQ$6,FALSE)</f>
        <v>0</v>
      </c>
      <c r="CR31" s="254">
        <f ca="1">IF(AND(AuswDipl0[[#This Row],[BS_2_AnzGer]]&gt;=$CP$2,AND(ISNUMBER(AuswDipl0[[#This Row],[BS_2_Park]]),AuswDipl0[[#This Row],[BS_2_Park]]&gt;0)),1,0)</f>
        <v>0</v>
      </c>
      <c r="CS31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1" s="254">
        <f ca="1">IFERROR(INDEX(INDIRECT($CT$4),MATCH(AuswDipl0[[#This Row],[BS_2_Med]],INDIRECT($CT$3),0)),6)</f>
        <v>6</v>
      </c>
      <c r="CU31" s="254" t="str">
        <f ca="1">VLOOKUP(AuswDipl0[[#This Row],[Nummer]],_Diplom,CU$6,FALSE)</f>
        <v>Zu wenige Noten</v>
      </c>
      <c r="CV31" s="254">
        <f ca="1">IF(AuswDipl0[[#This Row],[BS_3_Erg]]=INDEX(StdFehler[StdFehler],4),0,IF(AuswDipl0[[#This Row],[BS_3_Erg]]=Stammdaten!$AX$19,Stammdaten!$AX$19,VALUE(AuswDipl0[[#This Row],[BS_3_Erg]])))</f>
        <v>0</v>
      </c>
      <c r="CW31" s="254" t="str">
        <f ca="1">IF(AuswDipl0[[#This Row],[BS_3_x]]=0,"",INDEX(INDIRECT(CW$4),MATCH(AuswDipl0[[#This Row],[BS_3_x]],INDIRECT(CW$3),0)))</f>
        <v/>
      </c>
      <c r="CX31" s="254">
        <f ca="1">IFERROR(INDEX(INDIRECT($CX$4),MATCH(AuswDipl0[[#This Row],[BS_3_Med]],INDIRECT($CX$3),0)),6)</f>
        <v>6</v>
      </c>
      <c r="CY31" s="254" t="str">
        <f ca="1">VLOOKUP(AuswDipl0[[#This Row],[Nummer]],_Diplom,CY$6,FALSE)</f>
        <v>Zu wenige Noten</v>
      </c>
      <c r="CZ31" s="254">
        <f ca="1">VLOOKUP(AuswDipl0[[#This Row],[Nummer]],_Diplom,CZ$6,FALSE)</f>
        <v>0</v>
      </c>
      <c r="DA31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1" s="254">
        <f ca="1">IFERROR(INDEX(INDIRECT($DB$4),MATCH(AuswDipl0[[#This Row],[BS_4_Med]],INDIRECT($DB$3),0)),6)</f>
        <v>6</v>
      </c>
    </row>
    <row r="32" spans="1:106" ht="12" customHeight="1" x14ac:dyDescent="0.25">
      <c r="A32" s="254">
        <v>26</v>
      </c>
      <c r="B32" s="254" t="str">
        <f ca="1">VLOOKUP(AuswDipl0[[#This Row],[Nummer]],_Diplom,B$6,FALSE)</f>
        <v>Sprintdisziplinen nicht durchgeführt</v>
      </c>
      <c r="C32" s="254" t="str">
        <f ca="1">IFERROR(VLOOKUP(AuswDipl0[[#This Row],[Sprint0]],INDIRECT($A$2),1,0),$B$4)</f>
        <v>Sprintdisziplinen</v>
      </c>
      <c r="D32" s="254" t="str">
        <f ca="1">IF(AuswDipl0[[#This Row],[Sprint00]]=$B$4,MID(AuswDipl0[[#This Row],[Sprint0]],FIND(" ",AuswDipl0[[#This Row],[Sprint0]],1)+1,LEN(AuswDipl0[[#This Row],[Sprint0]])),"")</f>
        <v>nicht durchgeführt</v>
      </c>
      <c r="E32" s="254" t="str">
        <f ca="1">IF(AuswDipl0[[#This Row],[Sprint000]]=Stammdaten!$AY$27,AuswDipl0[[#This Row],[Sprint000]],"")</f>
        <v>nicht durchgeführt</v>
      </c>
      <c r="F32" s="254" t="str">
        <f ca="1">IF(VLOOKUP(AuswDipl0[[#This Row],[Nummer]],_Diplom,F$6,FALSE)="",""," "&amp;VLOOKUP(AuswDipl0[[#This Row],[Nummer]],_Diplom,F$6,FALSE))</f>
        <v/>
      </c>
      <c r="G32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2" s="254" t="str">
        <f ca="1">IF(VLOOKUP(AuswDipl0[[#This Row],[Nummer]],_Diplom,H$6,FALSE)&lt;&gt;"","("&amp;VLOOKUP(AuswDipl0[[#This Row],[Nummer]],_Diplom,H$6,FALSE)&amp;")","")</f>
        <v/>
      </c>
      <c r="I32" s="254" t="str">
        <f ca="1">VLOOKUP(AuswDipl0[[#This Row],[Nummer]],_Diplom,I$6,FALSE)</f>
        <v>Ausdauerdisziplinen nicht durchgeführt</v>
      </c>
      <c r="J32" s="254" t="str">
        <f ca="1">IFERROR(VLOOKUP(AuswDipl0[[#This Row],[Ausdauer0]],INDIRECT($A$2),1,0),$I$4)</f>
        <v>Ausdauerdisziplinen</v>
      </c>
      <c r="K32" s="254" t="str">
        <f ca="1">IF(AuswDipl0[[#This Row],[Ausdauer00]]=$I$4,MID(AuswDipl0[[#This Row],[Ausdauer0]],FIND(" ",AuswDipl0[[#This Row],[Ausdauer0]],1)+1,LEN(AuswDipl0[[#This Row],[Ausdauer0]])),"")</f>
        <v>nicht durchgeführt</v>
      </c>
      <c r="L32" s="254" t="str">
        <f ca="1">IF(AuswDipl0[[#This Row],[Ausdauer000]]=Stammdaten!$AY$27,AuswDipl0[[#This Row],[Ausdauer000]],"")</f>
        <v>nicht durchgeführt</v>
      </c>
      <c r="M32" s="254" t="str">
        <f ca="1">IF(VLOOKUP(AuswDipl0[[#This Row],[Nummer]],_Diplom,M$6,FALSE)="",""," "&amp;VLOOKUP(AuswDipl0[[#This Row],[Nummer]],_Diplom,M$6,FALSE))</f>
        <v/>
      </c>
      <c r="N32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2" s="254" t="str">
        <f ca="1">IF(VLOOKUP(AuswDipl0[[#This Row],[Nummer]],_Diplom,O$6,FALSE)&lt;&gt;"","("&amp;VLOOKUP(AuswDipl0[[#This Row],[Nummer]],_Diplom,O$6,FALSE)&amp;")","")</f>
        <v/>
      </c>
      <c r="P32" s="254" t="str">
        <f ca="1">VLOOKUP(AuswDipl0[[#This Row],[Nummer]],_Diplom,P$6,FALSE)</f>
        <v>Sprungdisziplinen nicht durchgeführt</v>
      </c>
      <c r="Q32" s="254" t="str">
        <f ca="1">IFERROR(VLOOKUP(AuswDipl0[[#This Row],[Sprung0]],INDIRECT($A$2),1,0),$P$4)</f>
        <v>Sprungdisziplinen</v>
      </c>
      <c r="R32" s="254" t="str">
        <f ca="1">IF(AuswDipl0[[#This Row],[Sprung00]]=$P$4,MID(AuswDipl0[[#This Row],[Sprung0]],FIND(" ",AuswDipl0[[#This Row],[Sprung0]],1)+1,LEN(AuswDipl0[[#This Row],[Sprung0]])),"")</f>
        <v>nicht durchgeführt</v>
      </c>
      <c r="S32" s="254" t="str">
        <f ca="1">IF(AuswDipl0[[#This Row],[Sprung000]]=Stammdaten!$AY$27,AuswDipl0[[#This Row],[Sprung000]],"")</f>
        <v>nicht durchgeführt</v>
      </c>
      <c r="T32" s="254" t="str">
        <f ca="1">IF(VLOOKUP(AuswDipl0[[#This Row],[Nummer]],_Diplom,T$6,FALSE)="",""," "&amp;VLOOKUP(AuswDipl0[[#This Row],[Nummer]],_Diplom,T$6,FALSE))</f>
        <v/>
      </c>
      <c r="U32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2" s="254" t="str">
        <f ca="1">IF(VLOOKUP(AuswDipl0[[#This Row],[Nummer]],_Diplom,V$6,FALSE)&lt;&gt;"","("&amp;VLOOKUP(AuswDipl0[[#This Row],[Nummer]],_Diplom,V$6,FALSE)&amp;")","")</f>
        <v/>
      </c>
      <c r="W32" s="254" t="str">
        <f ca="1">VLOOKUP(AuswDipl0[[#This Row],[Nummer]],_Diplom,W$6,FALSE)</f>
        <v>Wurfdisziplinen nicht durchgeführt</v>
      </c>
      <c r="X32" s="254" t="str">
        <f ca="1">IFERROR(VLOOKUP(AuswDipl0[[#This Row],[Wurf0]],INDIRECT($A$2),1,0),$W$4)</f>
        <v>Wurfdisziplinen</v>
      </c>
      <c r="Y32" s="254" t="str">
        <f ca="1">IF(AuswDipl0[[#This Row],[Wurf00]]=$W$4,MID(AuswDipl0[[#This Row],[Wurf0]],FIND(" ",AuswDipl0[[#This Row],[Wurf0]],1)+1,LEN(AuswDipl0[[#This Row],[Wurf0]])),"")</f>
        <v>nicht durchgeführt</v>
      </c>
      <c r="Z32" s="254" t="str">
        <f ca="1">IF(AuswDipl0[[#This Row],[Wurf000]]=Stammdaten!$AY$27,AuswDipl0[[#This Row],[Wurf000]],"")</f>
        <v>nicht durchgeführt</v>
      </c>
      <c r="AA32" s="254" t="str">
        <f ca="1">IF(VLOOKUP(AuswDipl0[[#This Row],[Nummer]],_Diplom,AA$6,FALSE)="",""," "&amp;VLOOKUP(AuswDipl0[[#This Row],[Nummer]],_Diplom,AA$6,FALSE))</f>
        <v/>
      </c>
      <c r="AB32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2" s="254" t="str">
        <f ca="1">IF(VLOOKUP(AuswDipl0[[#This Row],[Nummer]],_Diplom,AC$6,FALSE)&lt;&gt;"","("&amp;VLOOKUP(AuswDipl0[[#This Row],[Nummer]],_Diplom,AC$6,FALSE)&amp;")","")</f>
        <v/>
      </c>
      <c r="AD32" s="254" t="str">
        <f ca="1">IF(AuswDipl0[[#This Row],[ErGe_Höchst]]&lt;&gt;"",VLOOKUP(AuswDipl0[[#This Row],[Nummer]],_Diplom,$AD$6,FALSE),VLOOKUP(AuswDipl0[[#This Row],[Nummer]],_Diplom,$AD$6,FALSE))</f>
        <v>Erstes Gerät</v>
      </c>
      <c r="AE32" s="254" t="str">
        <f ca="1">VLOOKUP(AuswDipl0[[#This Row],[Nummer]],_Diplom,$AE$6,FALSE)</f>
        <v>nicht durchgeführt</v>
      </c>
      <c r="AF32" s="254" t="str">
        <f ca="1">IF(AuswDipl0[[#This Row],[ErGe_Höchst]]&lt;&gt;"",AuswDipl0[[#This Row],[ErGe_Höchst]],AuswDipl0[[#This Row],[ErGe_Txt2]])</f>
        <v>nicht durchgeführt</v>
      </c>
      <c r="AG32" s="254" t="str">
        <f ca="1">VLOOKUP(AuswDipl0[[#This Row],[Nummer]],_Diplom,$AG$6,FALSE)</f>
        <v/>
      </c>
      <c r="AH32" s="254" t="str">
        <f>VLOOKUP(AuswDipl0[[#This Row],[Nummer]],_Diplom,$AH$6,FALSE)</f>
        <v/>
      </c>
      <c r="AI32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2" s="254" t="str">
        <f ca="1">VLOOKUP(AuswDipl0[[#This Row],[Nummer]],_Diplom,$AJ$6,FALSE)</f>
        <v/>
      </c>
      <c r="AK32" s="254" t="str">
        <f ca="1">IF(AuswDipl0[[#This Row],[ZwGe_Höchst]]&lt;&gt;"",VLOOKUP(AuswDipl0[[#This Row],[Nummer]],_Diplom,$AK$6,FALSE),VLOOKUP(AuswDipl0[[#This Row],[Nummer]],_Diplom,$AK$6,FALSE))</f>
        <v>Zweites Gerät</v>
      </c>
      <c r="AL32" s="254" t="str">
        <f ca="1">VLOOKUP(AuswDipl0[[#This Row],[Nummer]],_Diplom,$AL$6,FALSE)</f>
        <v>nicht durchgeführt</v>
      </c>
      <c r="AM32" s="254" t="str">
        <f ca="1">IF(AuswDipl0[[#This Row],[ZwGe_Höchst]]&lt;&gt;"",AuswDipl0[[#This Row],[ZwGe_Höchst]],AuswDipl0[[#This Row],[ZwGe_Txt2]])</f>
        <v>nicht durchgeführt</v>
      </c>
      <c r="AN32" s="254" t="str">
        <f ca="1">VLOOKUP(AuswDipl0[[#This Row],[Nummer]],_Diplom,$AN$6,FALSE)</f>
        <v/>
      </c>
      <c r="AO32" s="254" t="str">
        <f>VLOOKUP(AuswDipl0[[#This Row],[Nummer]],_Diplom,$AO$6,FALSE)</f>
        <v/>
      </c>
      <c r="AP32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2" s="254" t="str">
        <f ca="1">VLOOKUP(AuswDipl0[[#This Row],[Nummer]],_Diplom,$AQ$6,FALSE)</f>
        <v/>
      </c>
      <c r="AR32" s="254" t="str">
        <f ca="1">IF(AuswDipl0[[#This Row],[DrGe_Höchst]]&lt;&gt;"",VLOOKUP(AuswDipl0[[#This Row],[Nummer]],_Diplom,$AR$6,FALSE),VLOOKUP(AuswDipl0[[#This Row],[Nummer]],_Diplom,$AR$6,FALSE))</f>
        <v>Drittes Gerät</v>
      </c>
      <c r="AS32" s="254" t="str">
        <f ca="1">VLOOKUP(AuswDipl0[[#This Row],[Nummer]],_Diplom,$AS$6,FALSE)</f>
        <v>nicht durchgeführt</v>
      </c>
      <c r="AT32" s="254" t="str">
        <f ca="1">IF(AuswDipl0[[#This Row],[DrGe_Höchst]]&lt;&gt;"",AuswDipl0[[#This Row],[DrGe_Höchst]],AuswDipl0[[#This Row],[DrGe_Txt2]])</f>
        <v>nicht durchgeführt</v>
      </c>
      <c r="AU32" s="254" t="str">
        <f ca="1">VLOOKUP(AuswDipl0[[#This Row],[Nummer]],_Diplom,$AU$6,FALSE)</f>
        <v/>
      </c>
      <c r="AV32" s="254" t="str">
        <f>VLOOKUP(AuswDipl0[[#This Row],[Nummer]],_Diplom,$AV$6,FALSE)</f>
        <v/>
      </c>
      <c r="AW32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2" s="254" t="str">
        <f ca="1">VLOOKUP(AuswDipl0[[#This Row],[Nummer]],_Diplom,$AX$6,FALSE)</f>
        <v/>
      </c>
      <c r="AY32" s="254" t="str">
        <f t="shared" si="0"/>
        <v>Parkour</v>
      </c>
      <c r="AZ32" s="254">
        <f ca="1">INDEX(INDIRECT($AZ$2),AuswDipl0[[#This Row],[Nummer]])</f>
        <v>0</v>
      </c>
      <c r="BA32" s="254" t="str">
        <f ca="1">IFERROR(IF(AuswDipl0[[#This Row],[ParkourPkte0]]&gt;0," "&amp;INDEX(INDIRECT($BA$2),MATCH($AY$1,INDIRECT($A$2),0)),""),"")</f>
        <v/>
      </c>
      <c r="BB32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2" s="254" t="str">
        <f ca="1">IF(AuswDipl0[[#This Row],[ParkourMax]]&lt;&gt;"",AuswDipl0[[#This Row],[ParkourMax]],Stammdaten!$AY$27)</f>
        <v>nicht durchgeführt</v>
      </c>
      <c r="BD32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2" s="254" t="str">
        <f ca="1">IF(AuswDipl0[[#This Row],[ParkourPkte1]]="","",VLOOKUP(AuswDipl0[[#This Row],[Nummer]],_Diplom,BE$6,FALSE))</f>
        <v/>
      </c>
      <c r="BF32" s="254" t="str">
        <f ca="1">VLOOKUP(AuswDipl0[[#This Row],[Nummer]],_Diplom,BF$6,FALSE)</f>
        <v>Darstellen und Tanzen</v>
      </c>
      <c r="BG32" s="254" t="str">
        <f ca="1">VLOOKUP(AuswDipl0[[#This Row],[Nummer]],_Diplom,BG$6,FALSE)</f>
        <v>nicht durchgeführt</v>
      </c>
      <c r="BH32" s="254" t="str">
        <f ca="1">IF(AuswDipl0[[#This Row],[BS_3_Max]]&lt;&gt;"",AuswDipl0[[#This Row],[BS_3_Max]],AuswDipl0[[#This Row],[BS_3_Txt1]])</f>
        <v>nicht durchgeführt</v>
      </c>
      <c r="BI32" s="254" t="str">
        <f ca="1">IF(VLOOKUP(AuswDipl0[[#This Row],[Nummer]],_Diplom,BI$6,FALSE)="","",VLOOKUP(AuswDipl0[[#This Row],[Nummer]],_Diplom,BI$6,FALSE))</f>
        <v/>
      </c>
      <c r="BJ32" s="254" t="str">
        <f ca="1">IF(AuswDipl0[[#This Row],[BS_3_Txt1]]=Stammdaten!$AX$19,AuswDipl0[[#This Row],[BS_3_Txt1]],AuswDipl0[[#This Row],[BS_3_Pkte0]]&amp;AuswDipl0[[#This Row],[BS_3_Mass]])</f>
        <v/>
      </c>
      <c r="BK32" s="254" t="str">
        <f ca="1">IFERROR(" "&amp;INDEX(INDIRECT($BK$2),MATCH(AuswDipl0[[#This Row],[BS_3_Txt0]],INDIRECT($A$2),0)),"")</f>
        <v/>
      </c>
      <c r="BL32" s="254" t="str">
        <f ca="1">VLOOKUP(AuswDipl0[[#This Row],[Nummer]],_Diplom,BL$6,FALSE)</f>
        <v/>
      </c>
      <c r="BM32" s="254" t="str">
        <f ca="1">IF(AuswDipl0[[#This Row],[ErSp_Höchst]]&lt;&gt;"",VLOOKUP(AuswDipl0[[#This Row],[Nummer]],_Diplom,$BM$6,FALSE),VLOOKUP(AuswDipl0[[#This Row],[Nummer]],_Diplom,$BM$6,FALSE))</f>
        <v>Erste Spielsportart</v>
      </c>
      <c r="BN32" s="254" t="str">
        <f ca="1">VLOOKUP(AuswDipl0[[#This Row],[Nummer]],_Diplom,$BN$6,FALSE)</f>
        <v>nicht durchgeführt</v>
      </c>
      <c r="BO32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2" s="254" t="str">
        <f ca="1">VLOOKUP(AuswDipl0[[#This Row],[Nummer]],_Diplom,$BP$6,FALSE)</f>
        <v/>
      </c>
      <c r="BQ32" s="254" t="str">
        <f ca="1">VLOOKUP(AuswDipl0[[#This Row],[Nummer]],_Diplom,$BQ$6,FALSE)</f>
        <v/>
      </c>
      <c r="BR32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2" s="254" t="str">
        <f ca="1">VLOOKUP(AuswDipl0[[#This Row],[Nummer]],_Diplom,$BS$6,FALSE)</f>
        <v/>
      </c>
      <c r="BT32" s="254" t="str">
        <f ca="1">VLOOKUP(AuswDipl0[[#This Row],[Nummer]],_Diplom,$BT$6,FALSE)</f>
        <v/>
      </c>
      <c r="BU32" s="254" t="str">
        <f ca="1">IF(AuswDipl0[[#This Row],[ZwSp_Höchst]]&lt;&gt;"",VLOOKUP(AuswDipl0[[#This Row],[Nummer]],_Diplom,$BU$6,FALSE),VLOOKUP(AuswDipl0[[#This Row],[Nummer]],_Diplom,$BU$6,FALSE))</f>
        <v>Zweite Spielsportart</v>
      </c>
      <c r="BV32" s="254" t="str">
        <f ca="1">VLOOKUP(AuswDipl0[[#This Row],[Nummer]],_Diplom,$BV$6,FALSE)</f>
        <v>nicht durchgeführt</v>
      </c>
      <c r="BW32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2" s="254" t="str">
        <f ca="1">VLOOKUP(AuswDipl0[[#This Row],[Nummer]],_Diplom,$BX$6,FALSE)</f>
        <v/>
      </c>
      <c r="BY32" s="254" t="str">
        <f ca="1">VLOOKUP(AuswDipl0[[#This Row],[Nummer]],_Diplom,$BY$6,FALSE)</f>
        <v/>
      </c>
      <c r="BZ32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2" s="254" t="str">
        <f ca="1">VLOOKUP(AuswDipl0[[#This Row],[Nummer]],_Diplom,$CA$6,FALSE)</f>
        <v/>
      </c>
      <c r="CB32" s="254" t="str">
        <f ca="1">VLOOKUP(AuswDipl0[[#This Row],[Nummer]],_Diplom,$CB$6,FALSE)</f>
        <v/>
      </c>
      <c r="CC32" s="254" t="str">
        <f ca="1">IF(AuswDipl0[[#This Row],[DrSp_Höchst]]&lt;&gt;"",VLOOKUP(AuswDipl0[[#This Row],[Nummer]],_Diplom,$CC$6,FALSE),VLOOKUP(AuswDipl0[[#This Row],[Nummer]],_Diplom,$CC$6,FALSE))</f>
        <v>Dritte Spielsportart</v>
      </c>
      <c r="CD32" s="254" t="str">
        <f ca="1">VLOOKUP(AuswDipl0[[#This Row],[Nummer]],_Diplom,$CD$6,FALSE)</f>
        <v>nicht durchgeführt</v>
      </c>
      <c r="CE32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2" s="254" t="str">
        <f ca="1">VLOOKUP(AuswDipl0[[#This Row],[Nummer]],_Diplom,$CF$6,FALSE)</f>
        <v/>
      </c>
      <c r="CG32" s="254" t="str">
        <f ca="1">VLOOKUP(AuswDipl0[[#This Row],[Nummer]],_Diplom,$CG$6,FALSE)</f>
        <v/>
      </c>
      <c r="CH32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2" s="254" t="str">
        <f ca="1">VLOOKUP(AuswDipl0[[#This Row],[Nummer]],_Diplom,$CI$6,FALSE)</f>
        <v/>
      </c>
      <c r="CJ32" s="254" t="str">
        <f ca="1">VLOOKUP(AuswDipl0[[#This Row],[Nummer]],_Diplom,$CJ$6,FALSE)</f>
        <v/>
      </c>
      <c r="CK32" s="254" t="str">
        <f ca="1">VLOOKUP(AuswDipl0[[#This Row],[Nummer]],_Diplom,CK$6,FALSE)</f>
        <v>Zu wenige Noten</v>
      </c>
      <c r="CL32" s="254">
        <f ca="1">VLOOKUP(AuswDipl0[[#This Row],[Nummer]],_Diplom,CL$6,FALSE)</f>
        <v>0</v>
      </c>
      <c r="CM32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2" s="254">
        <f ca="1">IFERROR(INDEX(INDIRECT($CN$4),MATCH(AuswDipl0[[#This Row],[BS_1_Med]],INDIRECT($CN$3),0)),6)</f>
        <v>6</v>
      </c>
      <c r="CO32" s="254" t="str">
        <f ca="1">VLOOKUP(AuswDipl0[[#This Row],[Nummer]],_Diplom,CO$6,FALSE)</f>
        <v>Zu wenige Noten</v>
      </c>
      <c r="CP32" s="254">
        <f>VLOOKUP(AuswDipl0[[#This Row],[Nummer]],_Diplom,CP$6,FALSE)</f>
        <v>0</v>
      </c>
      <c r="CQ32" s="254">
        <f ca="1">VLOOKUP(AuswDipl0[[#This Row],[Nummer]],_Diplom,CQ$6,FALSE)</f>
        <v>0</v>
      </c>
      <c r="CR32" s="254">
        <f ca="1">IF(AND(AuswDipl0[[#This Row],[BS_2_AnzGer]]&gt;=$CP$2,AND(ISNUMBER(AuswDipl0[[#This Row],[BS_2_Park]]),AuswDipl0[[#This Row],[BS_2_Park]]&gt;0)),1,0)</f>
        <v>0</v>
      </c>
      <c r="CS32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2" s="254">
        <f ca="1">IFERROR(INDEX(INDIRECT($CT$4),MATCH(AuswDipl0[[#This Row],[BS_2_Med]],INDIRECT($CT$3),0)),6)</f>
        <v>6</v>
      </c>
      <c r="CU32" s="254" t="str">
        <f ca="1">VLOOKUP(AuswDipl0[[#This Row],[Nummer]],_Diplom,CU$6,FALSE)</f>
        <v>Zu wenige Noten</v>
      </c>
      <c r="CV32" s="254">
        <f ca="1">IF(AuswDipl0[[#This Row],[BS_3_Erg]]=INDEX(StdFehler[StdFehler],4),0,IF(AuswDipl0[[#This Row],[BS_3_Erg]]=Stammdaten!$AX$19,Stammdaten!$AX$19,VALUE(AuswDipl0[[#This Row],[BS_3_Erg]])))</f>
        <v>0</v>
      </c>
      <c r="CW32" s="254" t="str">
        <f ca="1">IF(AuswDipl0[[#This Row],[BS_3_x]]=0,"",INDEX(INDIRECT(CW$4),MATCH(AuswDipl0[[#This Row],[BS_3_x]],INDIRECT(CW$3),0)))</f>
        <v/>
      </c>
      <c r="CX32" s="254">
        <f ca="1">IFERROR(INDEX(INDIRECT($CX$4),MATCH(AuswDipl0[[#This Row],[BS_3_Med]],INDIRECT($CX$3),0)),6)</f>
        <v>6</v>
      </c>
      <c r="CY32" s="254" t="str">
        <f ca="1">VLOOKUP(AuswDipl0[[#This Row],[Nummer]],_Diplom,CY$6,FALSE)</f>
        <v>Zu wenige Noten</v>
      </c>
      <c r="CZ32" s="254">
        <f ca="1">VLOOKUP(AuswDipl0[[#This Row],[Nummer]],_Diplom,CZ$6,FALSE)</f>
        <v>0</v>
      </c>
      <c r="DA32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2" s="254">
        <f ca="1">IFERROR(INDEX(INDIRECT($DB$4),MATCH(AuswDipl0[[#This Row],[BS_4_Med]],INDIRECT($DB$3),0)),6)</f>
        <v>6</v>
      </c>
    </row>
    <row r="33" spans="1:106" ht="12" customHeight="1" x14ac:dyDescent="0.25">
      <c r="A33" s="254">
        <v>27</v>
      </c>
      <c r="B33" s="254" t="str">
        <f ca="1">VLOOKUP(AuswDipl0[[#This Row],[Nummer]],_Diplom,B$6,FALSE)</f>
        <v>Sprintdisziplinen nicht durchgeführt</v>
      </c>
      <c r="C33" s="254" t="str">
        <f ca="1">IFERROR(VLOOKUP(AuswDipl0[[#This Row],[Sprint0]],INDIRECT($A$2),1,0),$B$4)</f>
        <v>Sprintdisziplinen</v>
      </c>
      <c r="D33" s="254" t="str">
        <f ca="1">IF(AuswDipl0[[#This Row],[Sprint00]]=$B$4,MID(AuswDipl0[[#This Row],[Sprint0]],FIND(" ",AuswDipl0[[#This Row],[Sprint0]],1)+1,LEN(AuswDipl0[[#This Row],[Sprint0]])),"")</f>
        <v>nicht durchgeführt</v>
      </c>
      <c r="E33" s="254" t="str">
        <f ca="1">IF(AuswDipl0[[#This Row],[Sprint000]]=Stammdaten!$AY$27,AuswDipl0[[#This Row],[Sprint000]],"")</f>
        <v>nicht durchgeführt</v>
      </c>
      <c r="F33" s="254" t="str">
        <f ca="1">IF(VLOOKUP(AuswDipl0[[#This Row],[Nummer]],_Diplom,F$6,FALSE)="",""," "&amp;VLOOKUP(AuswDipl0[[#This Row],[Nummer]],_Diplom,F$6,FALSE))</f>
        <v/>
      </c>
      <c r="G33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3" s="254" t="str">
        <f ca="1">IF(VLOOKUP(AuswDipl0[[#This Row],[Nummer]],_Diplom,H$6,FALSE)&lt;&gt;"","("&amp;VLOOKUP(AuswDipl0[[#This Row],[Nummer]],_Diplom,H$6,FALSE)&amp;")","")</f>
        <v/>
      </c>
      <c r="I33" s="254" t="str">
        <f ca="1">VLOOKUP(AuswDipl0[[#This Row],[Nummer]],_Diplom,I$6,FALSE)</f>
        <v>Ausdauerdisziplinen nicht durchgeführt</v>
      </c>
      <c r="J33" s="254" t="str">
        <f ca="1">IFERROR(VLOOKUP(AuswDipl0[[#This Row],[Ausdauer0]],INDIRECT($A$2),1,0),$I$4)</f>
        <v>Ausdauerdisziplinen</v>
      </c>
      <c r="K33" s="254" t="str">
        <f ca="1">IF(AuswDipl0[[#This Row],[Ausdauer00]]=$I$4,MID(AuswDipl0[[#This Row],[Ausdauer0]],FIND(" ",AuswDipl0[[#This Row],[Ausdauer0]],1)+1,LEN(AuswDipl0[[#This Row],[Ausdauer0]])),"")</f>
        <v>nicht durchgeführt</v>
      </c>
      <c r="L33" s="254" t="str">
        <f ca="1">IF(AuswDipl0[[#This Row],[Ausdauer000]]=Stammdaten!$AY$27,AuswDipl0[[#This Row],[Ausdauer000]],"")</f>
        <v>nicht durchgeführt</v>
      </c>
      <c r="M33" s="254" t="str">
        <f ca="1">IF(VLOOKUP(AuswDipl0[[#This Row],[Nummer]],_Diplom,M$6,FALSE)="",""," "&amp;VLOOKUP(AuswDipl0[[#This Row],[Nummer]],_Diplom,M$6,FALSE))</f>
        <v/>
      </c>
      <c r="N33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3" s="254" t="str">
        <f ca="1">IF(VLOOKUP(AuswDipl0[[#This Row],[Nummer]],_Diplom,O$6,FALSE)&lt;&gt;"","("&amp;VLOOKUP(AuswDipl0[[#This Row],[Nummer]],_Diplom,O$6,FALSE)&amp;")","")</f>
        <v/>
      </c>
      <c r="P33" s="254" t="str">
        <f ca="1">VLOOKUP(AuswDipl0[[#This Row],[Nummer]],_Diplom,P$6,FALSE)</f>
        <v>Sprungdisziplinen nicht durchgeführt</v>
      </c>
      <c r="Q33" s="254" t="str">
        <f ca="1">IFERROR(VLOOKUP(AuswDipl0[[#This Row],[Sprung0]],INDIRECT($A$2),1,0),$P$4)</f>
        <v>Sprungdisziplinen</v>
      </c>
      <c r="R33" s="254" t="str">
        <f ca="1">IF(AuswDipl0[[#This Row],[Sprung00]]=$P$4,MID(AuswDipl0[[#This Row],[Sprung0]],FIND(" ",AuswDipl0[[#This Row],[Sprung0]],1)+1,LEN(AuswDipl0[[#This Row],[Sprung0]])),"")</f>
        <v>nicht durchgeführt</v>
      </c>
      <c r="S33" s="254" t="str">
        <f ca="1">IF(AuswDipl0[[#This Row],[Sprung000]]=Stammdaten!$AY$27,AuswDipl0[[#This Row],[Sprung000]],"")</f>
        <v>nicht durchgeführt</v>
      </c>
      <c r="T33" s="254" t="str">
        <f ca="1">IF(VLOOKUP(AuswDipl0[[#This Row],[Nummer]],_Diplom,T$6,FALSE)="",""," "&amp;VLOOKUP(AuswDipl0[[#This Row],[Nummer]],_Diplom,T$6,FALSE))</f>
        <v/>
      </c>
      <c r="U33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3" s="254" t="str">
        <f ca="1">IF(VLOOKUP(AuswDipl0[[#This Row],[Nummer]],_Diplom,V$6,FALSE)&lt;&gt;"","("&amp;VLOOKUP(AuswDipl0[[#This Row],[Nummer]],_Diplom,V$6,FALSE)&amp;")","")</f>
        <v/>
      </c>
      <c r="W33" s="254" t="str">
        <f ca="1">VLOOKUP(AuswDipl0[[#This Row],[Nummer]],_Diplom,W$6,FALSE)</f>
        <v>Wurfdisziplinen nicht durchgeführt</v>
      </c>
      <c r="X33" s="254" t="str">
        <f ca="1">IFERROR(VLOOKUP(AuswDipl0[[#This Row],[Wurf0]],INDIRECT($A$2),1,0),$W$4)</f>
        <v>Wurfdisziplinen</v>
      </c>
      <c r="Y33" s="254" t="str">
        <f ca="1">IF(AuswDipl0[[#This Row],[Wurf00]]=$W$4,MID(AuswDipl0[[#This Row],[Wurf0]],FIND(" ",AuswDipl0[[#This Row],[Wurf0]],1)+1,LEN(AuswDipl0[[#This Row],[Wurf0]])),"")</f>
        <v>nicht durchgeführt</v>
      </c>
      <c r="Z33" s="254" t="str">
        <f ca="1">IF(AuswDipl0[[#This Row],[Wurf000]]=Stammdaten!$AY$27,AuswDipl0[[#This Row],[Wurf000]],"")</f>
        <v>nicht durchgeführt</v>
      </c>
      <c r="AA33" s="254" t="str">
        <f ca="1">IF(VLOOKUP(AuswDipl0[[#This Row],[Nummer]],_Diplom,AA$6,FALSE)="",""," "&amp;VLOOKUP(AuswDipl0[[#This Row],[Nummer]],_Diplom,AA$6,FALSE))</f>
        <v/>
      </c>
      <c r="AB33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3" s="254" t="str">
        <f ca="1">IF(VLOOKUP(AuswDipl0[[#This Row],[Nummer]],_Diplom,AC$6,FALSE)&lt;&gt;"","("&amp;VLOOKUP(AuswDipl0[[#This Row],[Nummer]],_Diplom,AC$6,FALSE)&amp;")","")</f>
        <v/>
      </c>
      <c r="AD33" s="254" t="str">
        <f ca="1">IF(AuswDipl0[[#This Row],[ErGe_Höchst]]&lt;&gt;"",VLOOKUP(AuswDipl0[[#This Row],[Nummer]],_Diplom,$AD$6,FALSE),VLOOKUP(AuswDipl0[[#This Row],[Nummer]],_Diplom,$AD$6,FALSE))</f>
        <v>Erstes Gerät</v>
      </c>
      <c r="AE33" s="254" t="str">
        <f ca="1">VLOOKUP(AuswDipl0[[#This Row],[Nummer]],_Diplom,$AE$6,FALSE)</f>
        <v>nicht durchgeführt</v>
      </c>
      <c r="AF33" s="254" t="str">
        <f ca="1">IF(AuswDipl0[[#This Row],[ErGe_Höchst]]&lt;&gt;"",AuswDipl0[[#This Row],[ErGe_Höchst]],AuswDipl0[[#This Row],[ErGe_Txt2]])</f>
        <v>nicht durchgeführt</v>
      </c>
      <c r="AG33" s="254" t="str">
        <f ca="1">VLOOKUP(AuswDipl0[[#This Row],[Nummer]],_Diplom,$AG$6,FALSE)</f>
        <v/>
      </c>
      <c r="AH33" s="254" t="str">
        <f>VLOOKUP(AuswDipl0[[#This Row],[Nummer]],_Diplom,$AH$6,FALSE)</f>
        <v/>
      </c>
      <c r="AI33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3" s="254" t="str">
        <f ca="1">VLOOKUP(AuswDipl0[[#This Row],[Nummer]],_Diplom,$AJ$6,FALSE)</f>
        <v/>
      </c>
      <c r="AK33" s="254" t="str">
        <f ca="1">IF(AuswDipl0[[#This Row],[ZwGe_Höchst]]&lt;&gt;"",VLOOKUP(AuswDipl0[[#This Row],[Nummer]],_Diplom,$AK$6,FALSE),VLOOKUP(AuswDipl0[[#This Row],[Nummer]],_Diplom,$AK$6,FALSE))</f>
        <v>Zweites Gerät</v>
      </c>
      <c r="AL33" s="254" t="str">
        <f ca="1">VLOOKUP(AuswDipl0[[#This Row],[Nummer]],_Diplom,$AL$6,FALSE)</f>
        <v>nicht durchgeführt</v>
      </c>
      <c r="AM33" s="254" t="str">
        <f ca="1">IF(AuswDipl0[[#This Row],[ZwGe_Höchst]]&lt;&gt;"",AuswDipl0[[#This Row],[ZwGe_Höchst]],AuswDipl0[[#This Row],[ZwGe_Txt2]])</f>
        <v>nicht durchgeführt</v>
      </c>
      <c r="AN33" s="254" t="str">
        <f ca="1">VLOOKUP(AuswDipl0[[#This Row],[Nummer]],_Diplom,$AN$6,FALSE)</f>
        <v/>
      </c>
      <c r="AO33" s="254" t="str">
        <f>VLOOKUP(AuswDipl0[[#This Row],[Nummer]],_Diplom,$AO$6,FALSE)</f>
        <v/>
      </c>
      <c r="AP33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3" s="254" t="str">
        <f ca="1">VLOOKUP(AuswDipl0[[#This Row],[Nummer]],_Diplom,$AQ$6,FALSE)</f>
        <v/>
      </c>
      <c r="AR33" s="254" t="str">
        <f ca="1">IF(AuswDipl0[[#This Row],[DrGe_Höchst]]&lt;&gt;"",VLOOKUP(AuswDipl0[[#This Row],[Nummer]],_Diplom,$AR$6,FALSE),VLOOKUP(AuswDipl0[[#This Row],[Nummer]],_Diplom,$AR$6,FALSE))</f>
        <v>Drittes Gerät</v>
      </c>
      <c r="AS33" s="254" t="str">
        <f ca="1">VLOOKUP(AuswDipl0[[#This Row],[Nummer]],_Diplom,$AS$6,FALSE)</f>
        <v>nicht durchgeführt</v>
      </c>
      <c r="AT33" s="254" t="str">
        <f ca="1">IF(AuswDipl0[[#This Row],[DrGe_Höchst]]&lt;&gt;"",AuswDipl0[[#This Row],[DrGe_Höchst]],AuswDipl0[[#This Row],[DrGe_Txt2]])</f>
        <v>nicht durchgeführt</v>
      </c>
      <c r="AU33" s="254" t="str">
        <f ca="1">VLOOKUP(AuswDipl0[[#This Row],[Nummer]],_Diplom,$AU$6,FALSE)</f>
        <v/>
      </c>
      <c r="AV33" s="254" t="str">
        <f>VLOOKUP(AuswDipl0[[#This Row],[Nummer]],_Diplom,$AV$6,FALSE)</f>
        <v/>
      </c>
      <c r="AW33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3" s="254" t="str">
        <f ca="1">VLOOKUP(AuswDipl0[[#This Row],[Nummer]],_Diplom,$AX$6,FALSE)</f>
        <v/>
      </c>
      <c r="AY33" s="254" t="str">
        <f t="shared" si="0"/>
        <v>Parkour</v>
      </c>
      <c r="AZ33" s="254">
        <f ca="1">INDEX(INDIRECT($AZ$2),AuswDipl0[[#This Row],[Nummer]])</f>
        <v>0</v>
      </c>
      <c r="BA33" s="254" t="str">
        <f ca="1">IFERROR(IF(AuswDipl0[[#This Row],[ParkourPkte0]]&gt;0," "&amp;INDEX(INDIRECT($BA$2),MATCH($AY$1,INDIRECT($A$2),0)),""),"")</f>
        <v/>
      </c>
      <c r="BB33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3" s="254" t="str">
        <f ca="1">IF(AuswDipl0[[#This Row],[ParkourMax]]&lt;&gt;"",AuswDipl0[[#This Row],[ParkourMax]],Stammdaten!$AY$27)</f>
        <v>nicht durchgeführt</v>
      </c>
      <c r="BD33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3" s="254" t="str">
        <f ca="1">IF(AuswDipl0[[#This Row],[ParkourPkte1]]="","",VLOOKUP(AuswDipl0[[#This Row],[Nummer]],_Diplom,BE$6,FALSE))</f>
        <v/>
      </c>
      <c r="BF33" s="254" t="str">
        <f ca="1">VLOOKUP(AuswDipl0[[#This Row],[Nummer]],_Diplom,BF$6,FALSE)</f>
        <v>Darstellen und Tanzen</v>
      </c>
      <c r="BG33" s="254" t="str">
        <f ca="1">VLOOKUP(AuswDipl0[[#This Row],[Nummer]],_Diplom,BG$6,FALSE)</f>
        <v>nicht durchgeführt</v>
      </c>
      <c r="BH33" s="254" t="str">
        <f ca="1">IF(AuswDipl0[[#This Row],[BS_3_Max]]&lt;&gt;"",AuswDipl0[[#This Row],[BS_3_Max]],AuswDipl0[[#This Row],[BS_3_Txt1]])</f>
        <v>nicht durchgeführt</v>
      </c>
      <c r="BI33" s="254" t="str">
        <f ca="1">IF(VLOOKUP(AuswDipl0[[#This Row],[Nummer]],_Diplom,BI$6,FALSE)="","",VLOOKUP(AuswDipl0[[#This Row],[Nummer]],_Diplom,BI$6,FALSE))</f>
        <v/>
      </c>
      <c r="BJ33" s="254" t="str">
        <f ca="1">IF(AuswDipl0[[#This Row],[BS_3_Txt1]]=Stammdaten!$AX$19,AuswDipl0[[#This Row],[BS_3_Txt1]],AuswDipl0[[#This Row],[BS_3_Pkte0]]&amp;AuswDipl0[[#This Row],[BS_3_Mass]])</f>
        <v/>
      </c>
      <c r="BK33" s="254" t="str">
        <f ca="1">IFERROR(" "&amp;INDEX(INDIRECT($BK$2),MATCH(AuswDipl0[[#This Row],[BS_3_Txt0]],INDIRECT($A$2),0)),"")</f>
        <v/>
      </c>
      <c r="BL33" s="254" t="str">
        <f ca="1">VLOOKUP(AuswDipl0[[#This Row],[Nummer]],_Diplom,BL$6,FALSE)</f>
        <v/>
      </c>
      <c r="BM33" s="254" t="str">
        <f ca="1">IF(AuswDipl0[[#This Row],[ErSp_Höchst]]&lt;&gt;"",VLOOKUP(AuswDipl0[[#This Row],[Nummer]],_Diplom,$BM$6,FALSE),VLOOKUP(AuswDipl0[[#This Row],[Nummer]],_Diplom,$BM$6,FALSE))</f>
        <v>Erste Spielsportart</v>
      </c>
      <c r="BN33" s="254" t="str">
        <f ca="1">VLOOKUP(AuswDipl0[[#This Row],[Nummer]],_Diplom,$BN$6,FALSE)</f>
        <v>nicht durchgeführt</v>
      </c>
      <c r="BO33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3" s="254" t="str">
        <f ca="1">VLOOKUP(AuswDipl0[[#This Row],[Nummer]],_Diplom,$BP$6,FALSE)</f>
        <v/>
      </c>
      <c r="BQ33" s="254" t="str">
        <f ca="1">VLOOKUP(AuswDipl0[[#This Row],[Nummer]],_Diplom,$BQ$6,FALSE)</f>
        <v/>
      </c>
      <c r="BR33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3" s="254" t="str">
        <f ca="1">VLOOKUP(AuswDipl0[[#This Row],[Nummer]],_Diplom,$BS$6,FALSE)</f>
        <v/>
      </c>
      <c r="BT33" s="254" t="str">
        <f ca="1">VLOOKUP(AuswDipl0[[#This Row],[Nummer]],_Diplom,$BT$6,FALSE)</f>
        <v/>
      </c>
      <c r="BU33" s="254" t="str">
        <f ca="1">IF(AuswDipl0[[#This Row],[ZwSp_Höchst]]&lt;&gt;"",VLOOKUP(AuswDipl0[[#This Row],[Nummer]],_Diplom,$BU$6,FALSE),VLOOKUP(AuswDipl0[[#This Row],[Nummer]],_Diplom,$BU$6,FALSE))</f>
        <v>Zweite Spielsportart</v>
      </c>
      <c r="BV33" s="254" t="str">
        <f ca="1">VLOOKUP(AuswDipl0[[#This Row],[Nummer]],_Diplom,$BV$6,FALSE)</f>
        <v>nicht durchgeführt</v>
      </c>
      <c r="BW33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3" s="254" t="str">
        <f ca="1">VLOOKUP(AuswDipl0[[#This Row],[Nummer]],_Diplom,$BX$6,FALSE)</f>
        <v/>
      </c>
      <c r="BY33" s="254" t="str">
        <f ca="1">VLOOKUP(AuswDipl0[[#This Row],[Nummer]],_Diplom,$BY$6,FALSE)</f>
        <v/>
      </c>
      <c r="BZ33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3" s="254" t="str">
        <f ca="1">VLOOKUP(AuswDipl0[[#This Row],[Nummer]],_Diplom,$CA$6,FALSE)</f>
        <v/>
      </c>
      <c r="CB33" s="254" t="str">
        <f ca="1">VLOOKUP(AuswDipl0[[#This Row],[Nummer]],_Diplom,$CB$6,FALSE)</f>
        <v/>
      </c>
      <c r="CC33" s="254" t="str">
        <f ca="1">IF(AuswDipl0[[#This Row],[DrSp_Höchst]]&lt;&gt;"",VLOOKUP(AuswDipl0[[#This Row],[Nummer]],_Diplom,$CC$6,FALSE),VLOOKUP(AuswDipl0[[#This Row],[Nummer]],_Diplom,$CC$6,FALSE))</f>
        <v>Dritte Spielsportart</v>
      </c>
      <c r="CD33" s="254" t="str">
        <f ca="1">VLOOKUP(AuswDipl0[[#This Row],[Nummer]],_Diplom,$CD$6,FALSE)</f>
        <v>nicht durchgeführt</v>
      </c>
      <c r="CE33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3" s="254" t="str">
        <f ca="1">VLOOKUP(AuswDipl0[[#This Row],[Nummer]],_Diplom,$CF$6,FALSE)</f>
        <v/>
      </c>
      <c r="CG33" s="254" t="str">
        <f ca="1">VLOOKUP(AuswDipl0[[#This Row],[Nummer]],_Diplom,$CG$6,FALSE)</f>
        <v/>
      </c>
      <c r="CH33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3" s="254" t="str">
        <f ca="1">VLOOKUP(AuswDipl0[[#This Row],[Nummer]],_Diplom,$CI$6,FALSE)</f>
        <v/>
      </c>
      <c r="CJ33" s="254" t="str">
        <f ca="1">VLOOKUP(AuswDipl0[[#This Row],[Nummer]],_Diplom,$CJ$6,FALSE)</f>
        <v/>
      </c>
      <c r="CK33" s="254" t="str">
        <f ca="1">VLOOKUP(AuswDipl0[[#This Row],[Nummer]],_Diplom,CK$6,FALSE)</f>
        <v>Zu wenige Noten</v>
      </c>
      <c r="CL33" s="254">
        <f ca="1">VLOOKUP(AuswDipl0[[#This Row],[Nummer]],_Diplom,CL$6,FALSE)</f>
        <v>0</v>
      </c>
      <c r="CM33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3" s="254">
        <f ca="1">IFERROR(INDEX(INDIRECT($CN$4),MATCH(AuswDipl0[[#This Row],[BS_1_Med]],INDIRECT($CN$3),0)),6)</f>
        <v>6</v>
      </c>
      <c r="CO33" s="254" t="str">
        <f ca="1">VLOOKUP(AuswDipl0[[#This Row],[Nummer]],_Diplom,CO$6,FALSE)</f>
        <v>Zu wenige Noten</v>
      </c>
      <c r="CP33" s="254">
        <f>VLOOKUP(AuswDipl0[[#This Row],[Nummer]],_Diplom,CP$6,FALSE)</f>
        <v>0</v>
      </c>
      <c r="CQ33" s="254">
        <f ca="1">VLOOKUP(AuswDipl0[[#This Row],[Nummer]],_Diplom,CQ$6,FALSE)</f>
        <v>0</v>
      </c>
      <c r="CR33" s="254">
        <f ca="1">IF(AND(AuswDipl0[[#This Row],[BS_2_AnzGer]]&gt;=$CP$2,AND(ISNUMBER(AuswDipl0[[#This Row],[BS_2_Park]]),AuswDipl0[[#This Row],[BS_2_Park]]&gt;0)),1,0)</f>
        <v>0</v>
      </c>
      <c r="CS33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3" s="254">
        <f ca="1">IFERROR(INDEX(INDIRECT($CT$4),MATCH(AuswDipl0[[#This Row],[BS_2_Med]],INDIRECT($CT$3),0)),6)</f>
        <v>6</v>
      </c>
      <c r="CU33" s="254" t="str">
        <f ca="1">VLOOKUP(AuswDipl0[[#This Row],[Nummer]],_Diplom,CU$6,FALSE)</f>
        <v>Zu wenige Noten</v>
      </c>
      <c r="CV33" s="254">
        <f ca="1">IF(AuswDipl0[[#This Row],[BS_3_Erg]]=INDEX(StdFehler[StdFehler],4),0,IF(AuswDipl0[[#This Row],[BS_3_Erg]]=Stammdaten!$AX$19,Stammdaten!$AX$19,VALUE(AuswDipl0[[#This Row],[BS_3_Erg]])))</f>
        <v>0</v>
      </c>
      <c r="CW33" s="254" t="str">
        <f ca="1">IF(AuswDipl0[[#This Row],[BS_3_x]]=0,"",INDEX(INDIRECT(CW$4),MATCH(AuswDipl0[[#This Row],[BS_3_x]],INDIRECT(CW$3),0)))</f>
        <v/>
      </c>
      <c r="CX33" s="254">
        <f ca="1">IFERROR(INDEX(INDIRECT($CX$4),MATCH(AuswDipl0[[#This Row],[BS_3_Med]],INDIRECT($CX$3),0)),6)</f>
        <v>6</v>
      </c>
      <c r="CY33" s="254" t="str">
        <f ca="1">VLOOKUP(AuswDipl0[[#This Row],[Nummer]],_Diplom,CY$6,FALSE)</f>
        <v>Zu wenige Noten</v>
      </c>
      <c r="CZ33" s="254">
        <f ca="1">VLOOKUP(AuswDipl0[[#This Row],[Nummer]],_Diplom,CZ$6,FALSE)</f>
        <v>0</v>
      </c>
      <c r="DA33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3" s="254">
        <f ca="1">IFERROR(INDEX(INDIRECT($DB$4),MATCH(AuswDipl0[[#This Row],[BS_4_Med]],INDIRECT($DB$3),0)),6)</f>
        <v>6</v>
      </c>
    </row>
    <row r="34" spans="1:106" ht="12" customHeight="1" x14ac:dyDescent="0.25">
      <c r="A34" s="254">
        <v>28</v>
      </c>
      <c r="B34" s="254" t="str">
        <f ca="1">VLOOKUP(AuswDipl0[[#This Row],[Nummer]],_Diplom,B$6,FALSE)</f>
        <v>Sprintdisziplinen nicht durchgeführt</v>
      </c>
      <c r="C34" s="254" t="str">
        <f ca="1">IFERROR(VLOOKUP(AuswDipl0[[#This Row],[Sprint0]],INDIRECT($A$2),1,0),$B$4)</f>
        <v>Sprintdisziplinen</v>
      </c>
      <c r="D34" s="254" t="str">
        <f ca="1">IF(AuswDipl0[[#This Row],[Sprint00]]=$B$4,MID(AuswDipl0[[#This Row],[Sprint0]],FIND(" ",AuswDipl0[[#This Row],[Sprint0]],1)+1,LEN(AuswDipl0[[#This Row],[Sprint0]])),"")</f>
        <v>nicht durchgeführt</v>
      </c>
      <c r="E34" s="254" t="str">
        <f ca="1">IF(AuswDipl0[[#This Row],[Sprint000]]=Stammdaten!$AY$27,AuswDipl0[[#This Row],[Sprint000]],"")</f>
        <v>nicht durchgeführt</v>
      </c>
      <c r="F34" s="254" t="str">
        <f ca="1">IF(VLOOKUP(AuswDipl0[[#This Row],[Nummer]],_Diplom,F$6,FALSE)="",""," "&amp;VLOOKUP(AuswDipl0[[#This Row],[Nummer]],_Diplom,F$6,FALSE))</f>
        <v/>
      </c>
      <c r="G34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4" s="254" t="str">
        <f ca="1">IF(VLOOKUP(AuswDipl0[[#This Row],[Nummer]],_Diplom,H$6,FALSE)&lt;&gt;"","("&amp;VLOOKUP(AuswDipl0[[#This Row],[Nummer]],_Diplom,H$6,FALSE)&amp;")","")</f>
        <v/>
      </c>
      <c r="I34" s="254" t="str">
        <f ca="1">VLOOKUP(AuswDipl0[[#This Row],[Nummer]],_Diplom,I$6,FALSE)</f>
        <v>Ausdauerdisziplinen nicht durchgeführt</v>
      </c>
      <c r="J34" s="254" t="str">
        <f ca="1">IFERROR(VLOOKUP(AuswDipl0[[#This Row],[Ausdauer0]],INDIRECT($A$2),1,0),$I$4)</f>
        <v>Ausdauerdisziplinen</v>
      </c>
      <c r="K34" s="254" t="str">
        <f ca="1">IF(AuswDipl0[[#This Row],[Ausdauer00]]=$I$4,MID(AuswDipl0[[#This Row],[Ausdauer0]],FIND(" ",AuswDipl0[[#This Row],[Ausdauer0]],1)+1,LEN(AuswDipl0[[#This Row],[Ausdauer0]])),"")</f>
        <v>nicht durchgeführt</v>
      </c>
      <c r="L34" s="254" t="str">
        <f ca="1">IF(AuswDipl0[[#This Row],[Ausdauer000]]=Stammdaten!$AY$27,AuswDipl0[[#This Row],[Ausdauer000]],"")</f>
        <v>nicht durchgeführt</v>
      </c>
      <c r="M34" s="254" t="str">
        <f ca="1">IF(VLOOKUP(AuswDipl0[[#This Row],[Nummer]],_Diplom,M$6,FALSE)="",""," "&amp;VLOOKUP(AuswDipl0[[#This Row],[Nummer]],_Diplom,M$6,FALSE))</f>
        <v/>
      </c>
      <c r="N34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4" s="254" t="str">
        <f ca="1">IF(VLOOKUP(AuswDipl0[[#This Row],[Nummer]],_Diplom,O$6,FALSE)&lt;&gt;"","("&amp;VLOOKUP(AuswDipl0[[#This Row],[Nummer]],_Diplom,O$6,FALSE)&amp;")","")</f>
        <v/>
      </c>
      <c r="P34" s="254" t="str">
        <f ca="1">VLOOKUP(AuswDipl0[[#This Row],[Nummer]],_Diplom,P$6,FALSE)</f>
        <v>Sprungdisziplinen nicht durchgeführt</v>
      </c>
      <c r="Q34" s="254" t="str">
        <f ca="1">IFERROR(VLOOKUP(AuswDipl0[[#This Row],[Sprung0]],INDIRECT($A$2),1,0),$P$4)</f>
        <v>Sprungdisziplinen</v>
      </c>
      <c r="R34" s="254" t="str">
        <f ca="1">IF(AuswDipl0[[#This Row],[Sprung00]]=$P$4,MID(AuswDipl0[[#This Row],[Sprung0]],FIND(" ",AuswDipl0[[#This Row],[Sprung0]],1)+1,LEN(AuswDipl0[[#This Row],[Sprung0]])),"")</f>
        <v>nicht durchgeführt</v>
      </c>
      <c r="S34" s="254" t="str">
        <f ca="1">IF(AuswDipl0[[#This Row],[Sprung000]]=Stammdaten!$AY$27,AuswDipl0[[#This Row],[Sprung000]],"")</f>
        <v>nicht durchgeführt</v>
      </c>
      <c r="T34" s="254" t="str">
        <f ca="1">IF(VLOOKUP(AuswDipl0[[#This Row],[Nummer]],_Diplom,T$6,FALSE)="",""," "&amp;VLOOKUP(AuswDipl0[[#This Row],[Nummer]],_Diplom,T$6,FALSE))</f>
        <v/>
      </c>
      <c r="U34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4" s="254" t="str">
        <f ca="1">IF(VLOOKUP(AuswDipl0[[#This Row],[Nummer]],_Diplom,V$6,FALSE)&lt;&gt;"","("&amp;VLOOKUP(AuswDipl0[[#This Row],[Nummer]],_Diplom,V$6,FALSE)&amp;")","")</f>
        <v/>
      </c>
      <c r="W34" s="254" t="str">
        <f ca="1">VLOOKUP(AuswDipl0[[#This Row],[Nummer]],_Diplom,W$6,FALSE)</f>
        <v>Wurfdisziplinen nicht durchgeführt</v>
      </c>
      <c r="X34" s="254" t="str">
        <f ca="1">IFERROR(VLOOKUP(AuswDipl0[[#This Row],[Wurf0]],INDIRECT($A$2),1,0),$W$4)</f>
        <v>Wurfdisziplinen</v>
      </c>
      <c r="Y34" s="254" t="str">
        <f ca="1">IF(AuswDipl0[[#This Row],[Wurf00]]=$W$4,MID(AuswDipl0[[#This Row],[Wurf0]],FIND(" ",AuswDipl0[[#This Row],[Wurf0]],1)+1,LEN(AuswDipl0[[#This Row],[Wurf0]])),"")</f>
        <v>nicht durchgeführt</v>
      </c>
      <c r="Z34" s="254" t="str">
        <f ca="1">IF(AuswDipl0[[#This Row],[Wurf000]]=Stammdaten!$AY$27,AuswDipl0[[#This Row],[Wurf000]],"")</f>
        <v>nicht durchgeführt</v>
      </c>
      <c r="AA34" s="254" t="str">
        <f ca="1">IF(VLOOKUP(AuswDipl0[[#This Row],[Nummer]],_Diplom,AA$6,FALSE)="",""," "&amp;VLOOKUP(AuswDipl0[[#This Row],[Nummer]],_Diplom,AA$6,FALSE))</f>
        <v/>
      </c>
      <c r="AB34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4" s="254" t="str">
        <f ca="1">IF(VLOOKUP(AuswDipl0[[#This Row],[Nummer]],_Diplom,AC$6,FALSE)&lt;&gt;"","("&amp;VLOOKUP(AuswDipl0[[#This Row],[Nummer]],_Diplom,AC$6,FALSE)&amp;")","")</f>
        <v/>
      </c>
      <c r="AD34" s="254" t="str">
        <f ca="1">IF(AuswDipl0[[#This Row],[ErGe_Höchst]]&lt;&gt;"",VLOOKUP(AuswDipl0[[#This Row],[Nummer]],_Diplom,$AD$6,FALSE),VLOOKUP(AuswDipl0[[#This Row],[Nummer]],_Diplom,$AD$6,FALSE))</f>
        <v>Erstes Gerät</v>
      </c>
      <c r="AE34" s="254" t="str">
        <f ca="1">VLOOKUP(AuswDipl0[[#This Row],[Nummer]],_Diplom,$AE$6,FALSE)</f>
        <v>nicht durchgeführt</v>
      </c>
      <c r="AF34" s="254" t="str">
        <f ca="1">IF(AuswDipl0[[#This Row],[ErGe_Höchst]]&lt;&gt;"",AuswDipl0[[#This Row],[ErGe_Höchst]],AuswDipl0[[#This Row],[ErGe_Txt2]])</f>
        <v>nicht durchgeführt</v>
      </c>
      <c r="AG34" s="254" t="str">
        <f ca="1">VLOOKUP(AuswDipl0[[#This Row],[Nummer]],_Diplom,$AG$6,FALSE)</f>
        <v/>
      </c>
      <c r="AH34" s="254" t="str">
        <f>VLOOKUP(AuswDipl0[[#This Row],[Nummer]],_Diplom,$AH$6,FALSE)</f>
        <v/>
      </c>
      <c r="AI34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4" s="254" t="str">
        <f ca="1">VLOOKUP(AuswDipl0[[#This Row],[Nummer]],_Diplom,$AJ$6,FALSE)</f>
        <v/>
      </c>
      <c r="AK34" s="254" t="str">
        <f ca="1">IF(AuswDipl0[[#This Row],[ZwGe_Höchst]]&lt;&gt;"",VLOOKUP(AuswDipl0[[#This Row],[Nummer]],_Diplom,$AK$6,FALSE),VLOOKUP(AuswDipl0[[#This Row],[Nummer]],_Diplom,$AK$6,FALSE))</f>
        <v>Zweites Gerät</v>
      </c>
      <c r="AL34" s="254" t="str">
        <f ca="1">VLOOKUP(AuswDipl0[[#This Row],[Nummer]],_Diplom,$AL$6,FALSE)</f>
        <v>nicht durchgeführt</v>
      </c>
      <c r="AM34" s="254" t="str">
        <f ca="1">IF(AuswDipl0[[#This Row],[ZwGe_Höchst]]&lt;&gt;"",AuswDipl0[[#This Row],[ZwGe_Höchst]],AuswDipl0[[#This Row],[ZwGe_Txt2]])</f>
        <v>nicht durchgeführt</v>
      </c>
      <c r="AN34" s="254" t="str">
        <f ca="1">VLOOKUP(AuswDipl0[[#This Row],[Nummer]],_Diplom,$AN$6,FALSE)</f>
        <v/>
      </c>
      <c r="AO34" s="254" t="str">
        <f>VLOOKUP(AuswDipl0[[#This Row],[Nummer]],_Diplom,$AO$6,FALSE)</f>
        <v/>
      </c>
      <c r="AP34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4" s="254" t="str">
        <f ca="1">VLOOKUP(AuswDipl0[[#This Row],[Nummer]],_Diplom,$AQ$6,FALSE)</f>
        <v/>
      </c>
      <c r="AR34" s="254" t="str">
        <f ca="1">IF(AuswDipl0[[#This Row],[DrGe_Höchst]]&lt;&gt;"",VLOOKUP(AuswDipl0[[#This Row],[Nummer]],_Diplom,$AR$6,FALSE),VLOOKUP(AuswDipl0[[#This Row],[Nummer]],_Diplom,$AR$6,FALSE))</f>
        <v>Drittes Gerät</v>
      </c>
      <c r="AS34" s="254" t="str">
        <f ca="1">VLOOKUP(AuswDipl0[[#This Row],[Nummer]],_Diplom,$AS$6,FALSE)</f>
        <v>nicht durchgeführt</v>
      </c>
      <c r="AT34" s="254" t="str">
        <f ca="1">IF(AuswDipl0[[#This Row],[DrGe_Höchst]]&lt;&gt;"",AuswDipl0[[#This Row],[DrGe_Höchst]],AuswDipl0[[#This Row],[DrGe_Txt2]])</f>
        <v>nicht durchgeführt</v>
      </c>
      <c r="AU34" s="254" t="str">
        <f ca="1">VLOOKUP(AuswDipl0[[#This Row],[Nummer]],_Diplom,$AU$6,FALSE)</f>
        <v/>
      </c>
      <c r="AV34" s="254" t="str">
        <f>VLOOKUP(AuswDipl0[[#This Row],[Nummer]],_Diplom,$AV$6,FALSE)</f>
        <v/>
      </c>
      <c r="AW34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4" s="254" t="str">
        <f ca="1">VLOOKUP(AuswDipl0[[#This Row],[Nummer]],_Diplom,$AX$6,FALSE)</f>
        <v/>
      </c>
      <c r="AY34" s="254" t="str">
        <f t="shared" si="0"/>
        <v>Parkour</v>
      </c>
      <c r="AZ34" s="254">
        <f ca="1">INDEX(INDIRECT($AZ$2),AuswDipl0[[#This Row],[Nummer]])</f>
        <v>0</v>
      </c>
      <c r="BA34" s="254" t="str">
        <f ca="1">IFERROR(IF(AuswDipl0[[#This Row],[ParkourPkte0]]&gt;0," "&amp;INDEX(INDIRECT($BA$2),MATCH($AY$1,INDIRECT($A$2),0)),""),"")</f>
        <v/>
      </c>
      <c r="BB34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4" s="254" t="str">
        <f ca="1">IF(AuswDipl0[[#This Row],[ParkourMax]]&lt;&gt;"",AuswDipl0[[#This Row],[ParkourMax]],Stammdaten!$AY$27)</f>
        <v>nicht durchgeführt</v>
      </c>
      <c r="BD34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4" s="254" t="str">
        <f ca="1">IF(AuswDipl0[[#This Row],[ParkourPkte1]]="","",VLOOKUP(AuswDipl0[[#This Row],[Nummer]],_Diplom,BE$6,FALSE))</f>
        <v/>
      </c>
      <c r="BF34" s="254" t="str">
        <f ca="1">VLOOKUP(AuswDipl0[[#This Row],[Nummer]],_Diplom,BF$6,FALSE)</f>
        <v>Darstellen und Tanzen</v>
      </c>
      <c r="BG34" s="254" t="str">
        <f ca="1">VLOOKUP(AuswDipl0[[#This Row],[Nummer]],_Diplom,BG$6,FALSE)</f>
        <v>nicht durchgeführt</v>
      </c>
      <c r="BH34" s="254" t="str">
        <f ca="1">IF(AuswDipl0[[#This Row],[BS_3_Max]]&lt;&gt;"",AuswDipl0[[#This Row],[BS_3_Max]],AuswDipl0[[#This Row],[BS_3_Txt1]])</f>
        <v>nicht durchgeführt</v>
      </c>
      <c r="BI34" s="254" t="str">
        <f ca="1">IF(VLOOKUP(AuswDipl0[[#This Row],[Nummer]],_Diplom,BI$6,FALSE)="","",VLOOKUP(AuswDipl0[[#This Row],[Nummer]],_Diplom,BI$6,FALSE))</f>
        <v/>
      </c>
      <c r="BJ34" s="254" t="str">
        <f ca="1">IF(AuswDipl0[[#This Row],[BS_3_Txt1]]=Stammdaten!$AX$19,AuswDipl0[[#This Row],[BS_3_Txt1]],AuswDipl0[[#This Row],[BS_3_Pkte0]]&amp;AuswDipl0[[#This Row],[BS_3_Mass]])</f>
        <v/>
      </c>
      <c r="BK34" s="254" t="str">
        <f ca="1">IFERROR(" "&amp;INDEX(INDIRECT($BK$2),MATCH(AuswDipl0[[#This Row],[BS_3_Txt0]],INDIRECT($A$2),0)),"")</f>
        <v/>
      </c>
      <c r="BL34" s="254" t="str">
        <f ca="1">VLOOKUP(AuswDipl0[[#This Row],[Nummer]],_Diplom,BL$6,FALSE)</f>
        <v/>
      </c>
      <c r="BM34" s="254" t="str">
        <f ca="1">IF(AuswDipl0[[#This Row],[ErSp_Höchst]]&lt;&gt;"",VLOOKUP(AuswDipl0[[#This Row],[Nummer]],_Diplom,$BM$6,FALSE),VLOOKUP(AuswDipl0[[#This Row],[Nummer]],_Diplom,$BM$6,FALSE))</f>
        <v>Erste Spielsportart</v>
      </c>
      <c r="BN34" s="254" t="str">
        <f ca="1">VLOOKUP(AuswDipl0[[#This Row],[Nummer]],_Diplom,$BN$6,FALSE)</f>
        <v>nicht durchgeführt</v>
      </c>
      <c r="BO34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4" s="254" t="str">
        <f ca="1">VLOOKUP(AuswDipl0[[#This Row],[Nummer]],_Diplom,$BP$6,FALSE)</f>
        <v/>
      </c>
      <c r="BQ34" s="254" t="str">
        <f ca="1">VLOOKUP(AuswDipl0[[#This Row],[Nummer]],_Diplom,$BQ$6,FALSE)</f>
        <v/>
      </c>
      <c r="BR34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4" s="254" t="str">
        <f ca="1">VLOOKUP(AuswDipl0[[#This Row],[Nummer]],_Diplom,$BS$6,FALSE)</f>
        <v/>
      </c>
      <c r="BT34" s="254" t="str">
        <f ca="1">VLOOKUP(AuswDipl0[[#This Row],[Nummer]],_Diplom,$BT$6,FALSE)</f>
        <v/>
      </c>
      <c r="BU34" s="254" t="str">
        <f ca="1">IF(AuswDipl0[[#This Row],[ZwSp_Höchst]]&lt;&gt;"",VLOOKUP(AuswDipl0[[#This Row],[Nummer]],_Diplom,$BU$6,FALSE),VLOOKUP(AuswDipl0[[#This Row],[Nummer]],_Diplom,$BU$6,FALSE))</f>
        <v>Zweite Spielsportart</v>
      </c>
      <c r="BV34" s="254" t="str">
        <f ca="1">VLOOKUP(AuswDipl0[[#This Row],[Nummer]],_Diplom,$BV$6,FALSE)</f>
        <v>nicht durchgeführt</v>
      </c>
      <c r="BW34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4" s="254" t="str">
        <f ca="1">VLOOKUP(AuswDipl0[[#This Row],[Nummer]],_Diplom,$BX$6,FALSE)</f>
        <v/>
      </c>
      <c r="BY34" s="254" t="str">
        <f ca="1">VLOOKUP(AuswDipl0[[#This Row],[Nummer]],_Diplom,$BY$6,FALSE)</f>
        <v/>
      </c>
      <c r="BZ34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4" s="254" t="str">
        <f ca="1">VLOOKUP(AuswDipl0[[#This Row],[Nummer]],_Diplom,$CA$6,FALSE)</f>
        <v/>
      </c>
      <c r="CB34" s="254" t="str">
        <f ca="1">VLOOKUP(AuswDipl0[[#This Row],[Nummer]],_Diplom,$CB$6,FALSE)</f>
        <v/>
      </c>
      <c r="CC34" s="254" t="str">
        <f ca="1">IF(AuswDipl0[[#This Row],[DrSp_Höchst]]&lt;&gt;"",VLOOKUP(AuswDipl0[[#This Row],[Nummer]],_Diplom,$CC$6,FALSE),VLOOKUP(AuswDipl0[[#This Row],[Nummer]],_Diplom,$CC$6,FALSE))</f>
        <v>Dritte Spielsportart</v>
      </c>
      <c r="CD34" s="254" t="str">
        <f ca="1">VLOOKUP(AuswDipl0[[#This Row],[Nummer]],_Diplom,$CD$6,FALSE)</f>
        <v>nicht durchgeführt</v>
      </c>
      <c r="CE34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4" s="254" t="str">
        <f ca="1">VLOOKUP(AuswDipl0[[#This Row],[Nummer]],_Diplom,$CF$6,FALSE)</f>
        <v/>
      </c>
      <c r="CG34" s="254" t="str">
        <f ca="1">VLOOKUP(AuswDipl0[[#This Row],[Nummer]],_Diplom,$CG$6,FALSE)</f>
        <v/>
      </c>
      <c r="CH34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4" s="254" t="str">
        <f ca="1">VLOOKUP(AuswDipl0[[#This Row],[Nummer]],_Diplom,$CI$6,FALSE)</f>
        <v/>
      </c>
      <c r="CJ34" s="254" t="str">
        <f ca="1">VLOOKUP(AuswDipl0[[#This Row],[Nummer]],_Diplom,$CJ$6,FALSE)</f>
        <v/>
      </c>
      <c r="CK34" s="254" t="str">
        <f ca="1">VLOOKUP(AuswDipl0[[#This Row],[Nummer]],_Diplom,CK$6,FALSE)</f>
        <v>Zu wenige Noten</v>
      </c>
      <c r="CL34" s="254">
        <f ca="1">VLOOKUP(AuswDipl0[[#This Row],[Nummer]],_Diplom,CL$6,FALSE)</f>
        <v>0</v>
      </c>
      <c r="CM34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4" s="254">
        <f ca="1">IFERROR(INDEX(INDIRECT($CN$4),MATCH(AuswDipl0[[#This Row],[BS_1_Med]],INDIRECT($CN$3),0)),6)</f>
        <v>6</v>
      </c>
      <c r="CO34" s="254" t="str">
        <f ca="1">VLOOKUP(AuswDipl0[[#This Row],[Nummer]],_Diplom,CO$6,FALSE)</f>
        <v>Zu wenige Noten</v>
      </c>
      <c r="CP34" s="254">
        <f>VLOOKUP(AuswDipl0[[#This Row],[Nummer]],_Diplom,CP$6,FALSE)</f>
        <v>0</v>
      </c>
      <c r="CQ34" s="254">
        <f ca="1">VLOOKUP(AuswDipl0[[#This Row],[Nummer]],_Diplom,CQ$6,FALSE)</f>
        <v>0</v>
      </c>
      <c r="CR34" s="254">
        <f ca="1">IF(AND(AuswDipl0[[#This Row],[BS_2_AnzGer]]&gt;=$CP$2,AND(ISNUMBER(AuswDipl0[[#This Row],[BS_2_Park]]),AuswDipl0[[#This Row],[BS_2_Park]]&gt;0)),1,0)</f>
        <v>0</v>
      </c>
      <c r="CS34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4" s="254">
        <f ca="1">IFERROR(INDEX(INDIRECT($CT$4),MATCH(AuswDipl0[[#This Row],[BS_2_Med]],INDIRECT($CT$3),0)),6)</f>
        <v>6</v>
      </c>
      <c r="CU34" s="254" t="str">
        <f ca="1">VLOOKUP(AuswDipl0[[#This Row],[Nummer]],_Diplom,CU$6,FALSE)</f>
        <v>Zu wenige Noten</v>
      </c>
      <c r="CV34" s="254">
        <f ca="1">IF(AuswDipl0[[#This Row],[BS_3_Erg]]=INDEX(StdFehler[StdFehler],4),0,IF(AuswDipl0[[#This Row],[BS_3_Erg]]=Stammdaten!$AX$19,Stammdaten!$AX$19,VALUE(AuswDipl0[[#This Row],[BS_3_Erg]])))</f>
        <v>0</v>
      </c>
      <c r="CW34" s="254" t="str">
        <f ca="1">IF(AuswDipl0[[#This Row],[BS_3_x]]=0,"",INDEX(INDIRECT(CW$4),MATCH(AuswDipl0[[#This Row],[BS_3_x]],INDIRECT(CW$3),0)))</f>
        <v/>
      </c>
      <c r="CX34" s="254">
        <f ca="1">IFERROR(INDEX(INDIRECT($CX$4),MATCH(AuswDipl0[[#This Row],[BS_3_Med]],INDIRECT($CX$3),0)),6)</f>
        <v>6</v>
      </c>
      <c r="CY34" s="254" t="str">
        <f ca="1">VLOOKUP(AuswDipl0[[#This Row],[Nummer]],_Diplom,CY$6,FALSE)</f>
        <v>Zu wenige Noten</v>
      </c>
      <c r="CZ34" s="254">
        <f ca="1">VLOOKUP(AuswDipl0[[#This Row],[Nummer]],_Diplom,CZ$6,FALSE)</f>
        <v>0</v>
      </c>
      <c r="DA34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4" s="254">
        <f ca="1">IFERROR(INDEX(INDIRECT($DB$4),MATCH(AuswDipl0[[#This Row],[BS_4_Med]],INDIRECT($DB$3),0)),6)</f>
        <v>6</v>
      </c>
    </row>
    <row r="35" spans="1:106" ht="12" customHeight="1" x14ac:dyDescent="0.25">
      <c r="A35" s="254">
        <v>29</v>
      </c>
      <c r="B35" s="254" t="str">
        <f ca="1">VLOOKUP(AuswDipl0[[#This Row],[Nummer]],_Diplom,B$6,FALSE)</f>
        <v>Sprintdisziplinen nicht durchgeführt</v>
      </c>
      <c r="C35" s="254" t="str">
        <f ca="1">IFERROR(VLOOKUP(AuswDipl0[[#This Row],[Sprint0]],INDIRECT($A$2),1,0),$B$4)</f>
        <v>Sprintdisziplinen</v>
      </c>
      <c r="D35" s="254" t="str">
        <f ca="1">IF(AuswDipl0[[#This Row],[Sprint00]]=$B$4,MID(AuswDipl0[[#This Row],[Sprint0]],FIND(" ",AuswDipl0[[#This Row],[Sprint0]],1)+1,LEN(AuswDipl0[[#This Row],[Sprint0]])),"")</f>
        <v>nicht durchgeführt</v>
      </c>
      <c r="E35" s="254" t="str">
        <f ca="1">IF(AuswDipl0[[#This Row],[Sprint000]]=Stammdaten!$AY$27,AuswDipl0[[#This Row],[Sprint000]],"")</f>
        <v>nicht durchgeführt</v>
      </c>
      <c r="F35" s="254" t="str">
        <f ca="1">IF(VLOOKUP(AuswDipl0[[#This Row],[Nummer]],_Diplom,F$6,FALSE)="",""," "&amp;VLOOKUP(AuswDipl0[[#This Row],[Nummer]],_Diplom,F$6,FALSE))</f>
        <v/>
      </c>
      <c r="G35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5" s="254" t="str">
        <f ca="1">IF(VLOOKUP(AuswDipl0[[#This Row],[Nummer]],_Diplom,H$6,FALSE)&lt;&gt;"","("&amp;VLOOKUP(AuswDipl0[[#This Row],[Nummer]],_Diplom,H$6,FALSE)&amp;")","")</f>
        <v/>
      </c>
      <c r="I35" s="254" t="str">
        <f ca="1">VLOOKUP(AuswDipl0[[#This Row],[Nummer]],_Diplom,I$6,FALSE)</f>
        <v>Ausdauerdisziplinen nicht durchgeführt</v>
      </c>
      <c r="J35" s="254" t="str">
        <f ca="1">IFERROR(VLOOKUP(AuswDipl0[[#This Row],[Ausdauer0]],INDIRECT($A$2),1,0),$I$4)</f>
        <v>Ausdauerdisziplinen</v>
      </c>
      <c r="K35" s="254" t="str">
        <f ca="1">IF(AuswDipl0[[#This Row],[Ausdauer00]]=$I$4,MID(AuswDipl0[[#This Row],[Ausdauer0]],FIND(" ",AuswDipl0[[#This Row],[Ausdauer0]],1)+1,LEN(AuswDipl0[[#This Row],[Ausdauer0]])),"")</f>
        <v>nicht durchgeführt</v>
      </c>
      <c r="L35" s="254" t="str">
        <f ca="1">IF(AuswDipl0[[#This Row],[Ausdauer000]]=Stammdaten!$AY$27,AuswDipl0[[#This Row],[Ausdauer000]],"")</f>
        <v>nicht durchgeführt</v>
      </c>
      <c r="M35" s="254" t="str">
        <f ca="1">IF(VLOOKUP(AuswDipl0[[#This Row],[Nummer]],_Diplom,M$6,FALSE)="",""," "&amp;VLOOKUP(AuswDipl0[[#This Row],[Nummer]],_Diplom,M$6,FALSE))</f>
        <v/>
      </c>
      <c r="N35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5" s="254" t="str">
        <f ca="1">IF(VLOOKUP(AuswDipl0[[#This Row],[Nummer]],_Diplom,O$6,FALSE)&lt;&gt;"","("&amp;VLOOKUP(AuswDipl0[[#This Row],[Nummer]],_Diplom,O$6,FALSE)&amp;")","")</f>
        <v/>
      </c>
      <c r="P35" s="254" t="str">
        <f ca="1">VLOOKUP(AuswDipl0[[#This Row],[Nummer]],_Diplom,P$6,FALSE)</f>
        <v>Sprungdisziplinen nicht durchgeführt</v>
      </c>
      <c r="Q35" s="254" t="str">
        <f ca="1">IFERROR(VLOOKUP(AuswDipl0[[#This Row],[Sprung0]],INDIRECT($A$2),1,0),$P$4)</f>
        <v>Sprungdisziplinen</v>
      </c>
      <c r="R35" s="254" t="str">
        <f ca="1">IF(AuswDipl0[[#This Row],[Sprung00]]=$P$4,MID(AuswDipl0[[#This Row],[Sprung0]],FIND(" ",AuswDipl0[[#This Row],[Sprung0]],1)+1,LEN(AuswDipl0[[#This Row],[Sprung0]])),"")</f>
        <v>nicht durchgeführt</v>
      </c>
      <c r="S35" s="254" t="str">
        <f ca="1">IF(AuswDipl0[[#This Row],[Sprung000]]=Stammdaten!$AY$27,AuswDipl0[[#This Row],[Sprung000]],"")</f>
        <v>nicht durchgeführt</v>
      </c>
      <c r="T35" s="254" t="str">
        <f ca="1">IF(VLOOKUP(AuswDipl0[[#This Row],[Nummer]],_Diplom,T$6,FALSE)="",""," "&amp;VLOOKUP(AuswDipl0[[#This Row],[Nummer]],_Diplom,T$6,FALSE))</f>
        <v/>
      </c>
      <c r="U35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5" s="254" t="str">
        <f ca="1">IF(VLOOKUP(AuswDipl0[[#This Row],[Nummer]],_Diplom,V$6,FALSE)&lt;&gt;"","("&amp;VLOOKUP(AuswDipl0[[#This Row],[Nummer]],_Diplom,V$6,FALSE)&amp;")","")</f>
        <v/>
      </c>
      <c r="W35" s="254" t="str">
        <f ca="1">VLOOKUP(AuswDipl0[[#This Row],[Nummer]],_Diplom,W$6,FALSE)</f>
        <v>Wurfdisziplinen nicht durchgeführt</v>
      </c>
      <c r="X35" s="254" t="str">
        <f ca="1">IFERROR(VLOOKUP(AuswDipl0[[#This Row],[Wurf0]],INDIRECT($A$2),1,0),$W$4)</f>
        <v>Wurfdisziplinen</v>
      </c>
      <c r="Y35" s="254" t="str">
        <f ca="1">IF(AuswDipl0[[#This Row],[Wurf00]]=$W$4,MID(AuswDipl0[[#This Row],[Wurf0]],FIND(" ",AuswDipl0[[#This Row],[Wurf0]],1)+1,LEN(AuswDipl0[[#This Row],[Wurf0]])),"")</f>
        <v>nicht durchgeführt</v>
      </c>
      <c r="Z35" s="254" t="str">
        <f ca="1">IF(AuswDipl0[[#This Row],[Wurf000]]=Stammdaten!$AY$27,AuswDipl0[[#This Row],[Wurf000]],"")</f>
        <v>nicht durchgeführt</v>
      </c>
      <c r="AA35" s="254" t="str">
        <f ca="1">IF(VLOOKUP(AuswDipl0[[#This Row],[Nummer]],_Diplom,AA$6,FALSE)="",""," "&amp;VLOOKUP(AuswDipl0[[#This Row],[Nummer]],_Diplom,AA$6,FALSE))</f>
        <v/>
      </c>
      <c r="AB35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5" s="254" t="str">
        <f ca="1">IF(VLOOKUP(AuswDipl0[[#This Row],[Nummer]],_Diplom,AC$6,FALSE)&lt;&gt;"","("&amp;VLOOKUP(AuswDipl0[[#This Row],[Nummer]],_Diplom,AC$6,FALSE)&amp;")","")</f>
        <v/>
      </c>
      <c r="AD35" s="254" t="str">
        <f ca="1">IF(AuswDipl0[[#This Row],[ErGe_Höchst]]&lt;&gt;"",VLOOKUP(AuswDipl0[[#This Row],[Nummer]],_Diplom,$AD$6,FALSE),VLOOKUP(AuswDipl0[[#This Row],[Nummer]],_Diplom,$AD$6,FALSE))</f>
        <v>Erstes Gerät</v>
      </c>
      <c r="AE35" s="254" t="str">
        <f ca="1">VLOOKUP(AuswDipl0[[#This Row],[Nummer]],_Diplom,$AE$6,FALSE)</f>
        <v>nicht durchgeführt</v>
      </c>
      <c r="AF35" s="254" t="str">
        <f ca="1">IF(AuswDipl0[[#This Row],[ErGe_Höchst]]&lt;&gt;"",AuswDipl0[[#This Row],[ErGe_Höchst]],AuswDipl0[[#This Row],[ErGe_Txt2]])</f>
        <v>nicht durchgeführt</v>
      </c>
      <c r="AG35" s="254" t="str">
        <f ca="1">VLOOKUP(AuswDipl0[[#This Row],[Nummer]],_Diplom,$AG$6,FALSE)</f>
        <v/>
      </c>
      <c r="AH35" s="254" t="str">
        <f>VLOOKUP(AuswDipl0[[#This Row],[Nummer]],_Diplom,$AH$6,FALSE)</f>
        <v/>
      </c>
      <c r="AI35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5" s="254" t="str">
        <f ca="1">VLOOKUP(AuswDipl0[[#This Row],[Nummer]],_Diplom,$AJ$6,FALSE)</f>
        <v/>
      </c>
      <c r="AK35" s="254" t="str">
        <f ca="1">IF(AuswDipl0[[#This Row],[ZwGe_Höchst]]&lt;&gt;"",VLOOKUP(AuswDipl0[[#This Row],[Nummer]],_Diplom,$AK$6,FALSE),VLOOKUP(AuswDipl0[[#This Row],[Nummer]],_Diplom,$AK$6,FALSE))</f>
        <v>Zweites Gerät</v>
      </c>
      <c r="AL35" s="254" t="str">
        <f ca="1">VLOOKUP(AuswDipl0[[#This Row],[Nummer]],_Diplom,$AL$6,FALSE)</f>
        <v>nicht durchgeführt</v>
      </c>
      <c r="AM35" s="254" t="str">
        <f ca="1">IF(AuswDipl0[[#This Row],[ZwGe_Höchst]]&lt;&gt;"",AuswDipl0[[#This Row],[ZwGe_Höchst]],AuswDipl0[[#This Row],[ZwGe_Txt2]])</f>
        <v>nicht durchgeführt</v>
      </c>
      <c r="AN35" s="254" t="str">
        <f ca="1">VLOOKUP(AuswDipl0[[#This Row],[Nummer]],_Diplom,$AN$6,FALSE)</f>
        <v/>
      </c>
      <c r="AO35" s="254" t="str">
        <f>VLOOKUP(AuswDipl0[[#This Row],[Nummer]],_Diplom,$AO$6,FALSE)</f>
        <v/>
      </c>
      <c r="AP35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5" s="254" t="str">
        <f ca="1">VLOOKUP(AuswDipl0[[#This Row],[Nummer]],_Diplom,$AQ$6,FALSE)</f>
        <v/>
      </c>
      <c r="AR35" s="254" t="str">
        <f ca="1">IF(AuswDipl0[[#This Row],[DrGe_Höchst]]&lt;&gt;"",VLOOKUP(AuswDipl0[[#This Row],[Nummer]],_Diplom,$AR$6,FALSE),VLOOKUP(AuswDipl0[[#This Row],[Nummer]],_Diplom,$AR$6,FALSE))</f>
        <v>Drittes Gerät</v>
      </c>
      <c r="AS35" s="254" t="str">
        <f ca="1">VLOOKUP(AuswDipl0[[#This Row],[Nummer]],_Diplom,$AS$6,FALSE)</f>
        <v>nicht durchgeführt</v>
      </c>
      <c r="AT35" s="254" t="str">
        <f ca="1">IF(AuswDipl0[[#This Row],[DrGe_Höchst]]&lt;&gt;"",AuswDipl0[[#This Row],[DrGe_Höchst]],AuswDipl0[[#This Row],[DrGe_Txt2]])</f>
        <v>nicht durchgeführt</v>
      </c>
      <c r="AU35" s="254" t="str">
        <f ca="1">VLOOKUP(AuswDipl0[[#This Row],[Nummer]],_Diplom,$AU$6,FALSE)</f>
        <v/>
      </c>
      <c r="AV35" s="254" t="str">
        <f>VLOOKUP(AuswDipl0[[#This Row],[Nummer]],_Diplom,$AV$6,FALSE)</f>
        <v/>
      </c>
      <c r="AW35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5" s="254" t="str">
        <f ca="1">VLOOKUP(AuswDipl0[[#This Row],[Nummer]],_Diplom,$AX$6,FALSE)</f>
        <v/>
      </c>
      <c r="AY35" s="254" t="str">
        <f t="shared" si="0"/>
        <v>Parkour</v>
      </c>
      <c r="AZ35" s="254">
        <f ca="1">INDEX(INDIRECT($AZ$2),AuswDipl0[[#This Row],[Nummer]])</f>
        <v>0</v>
      </c>
      <c r="BA35" s="254" t="str">
        <f ca="1">IFERROR(IF(AuswDipl0[[#This Row],[ParkourPkte0]]&gt;0," "&amp;INDEX(INDIRECT($BA$2),MATCH($AY$1,INDIRECT($A$2),0)),""),"")</f>
        <v/>
      </c>
      <c r="BB35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5" s="254" t="str">
        <f ca="1">IF(AuswDipl0[[#This Row],[ParkourMax]]&lt;&gt;"",AuswDipl0[[#This Row],[ParkourMax]],Stammdaten!$AY$27)</f>
        <v>nicht durchgeführt</v>
      </c>
      <c r="BD35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5" s="254" t="str">
        <f ca="1">IF(AuswDipl0[[#This Row],[ParkourPkte1]]="","",VLOOKUP(AuswDipl0[[#This Row],[Nummer]],_Diplom,BE$6,FALSE))</f>
        <v/>
      </c>
      <c r="BF35" s="254" t="str">
        <f ca="1">VLOOKUP(AuswDipl0[[#This Row],[Nummer]],_Diplom,BF$6,FALSE)</f>
        <v>Darstellen und Tanzen</v>
      </c>
      <c r="BG35" s="254" t="str">
        <f ca="1">VLOOKUP(AuswDipl0[[#This Row],[Nummer]],_Diplom,BG$6,FALSE)</f>
        <v>nicht durchgeführt</v>
      </c>
      <c r="BH35" s="254" t="str">
        <f ca="1">IF(AuswDipl0[[#This Row],[BS_3_Max]]&lt;&gt;"",AuswDipl0[[#This Row],[BS_3_Max]],AuswDipl0[[#This Row],[BS_3_Txt1]])</f>
        <v>nicht durchgeführt</v>
      </c>
      <c r="BI35" s="254" t="str">
        <f ca="1">IF(VLOOKUP(AuswDipl0[[#This Row],[Nummer]],_Diplom,BI$6,FALSE)="","",VLOOKUP(AuswDipl0[[#This Row],[Nummer]],_Diplom,BI$6,FALSE))</f>
        <v/>
      </c>
      <c r="BJ35" s="254" t="str">
        <f ca="1">IF(AuswDipl0[[#This Row],[BS_3_Txt1]]=Stammdaten!$AX$19,AuswDipl0[[#This Row],[BS_3_Txt1]],AuswDipl0[[#This Row],[BS_3_Pkte0]]&amp;AuswDipl0[[#This Row],[BS_3_Mass]])</f>
        <v/>
      </c>
      <c r="BK35" s="254" t="str">
        <f ca="1">IFERROR(" "&amp;INDEX(INDIRECT($BK$2),MATCH(AuswDipl0[[#This Row],[BS_3_Txt0]],INDIRECT($A$2),0)),"")</f>
        <v/>
      </c>
      <c r="BL35" s="254" t="str">
        <f ca="1">VLOOKUP(AuswDipl0[[#This Row],[Nummer]],_Diplom,BL$6,FALSE)</f>
        <v/>
      </c>
      <c r="BM35" s="254" t="str">
        <f ca="1">IF(AuswDipl0[[#This Row],[ErSp_Höchst]]&lt;&gt;"",VLOOKUP(AuswDipl0[[#This Row],[Nummer]],_Diplom,$BM$6,FALSE),VLOOKUP(AuswDipl0[[#This Row],[Nummer]],_Diplom,$BM$6,FALSE))</f>
        <v>Erste Spielsportart</v>
      </c>
      <c r="BN35" s="254" t="str">
        <f ca="1">VLOOKUP(AuswDipl0[[#This Row],[Nummer]],_Diplom,$BN$6,FALSE)</f>
        <v>nicht durchgeführt</v>
      </c>
      <c r="BO35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5" s="254" t="str">
        <f ca="1">VLOOKUP(AuswDipl0[[#This Row],[Nummer]],_Diplom,$BP$6,FALSE)</f>
        <v/>
      </c>
      <c r="BQ35" s="254" t="str">
        <f ca="1">VLOOKUP(AuswDipl0[[#This Row],[Nummer]],_Diplom,$BQ$6,FALSE)</f>
        <v/>
      </c>
      <c r="BR35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5" s="254" t="str">
        <f ca="1">VLOOKUP(AuswDipl0[[#This Row],[Nummer]],_Diplom,$BS$6,FALSE)</f>
        <v/>
      </c>
      <c r="BT35" s="254" t="str">
        <f ca="1">VLOOKUP(AuswDipl0[[#This Row],[Nummer]],_Diplom,$BT$6,FALSE)</f>
        <v/>
      </c>
      <c r="BU35" s="254" t="str">
        <f ca="1">IF(AuswDipl0[[#This Row],[ZwSp_Höchst]]&lt;&gt;"",VLOOKUP(AuswDipl0[[#This Row],[Nummer]],_Diplom,$BU$6,FALSE),VLOOKUP(AuswDipl0[[#This Row],[Nummer]],_Diplom,$BU$6,FALSE))</f>
        <v>Zweite Spielsportart</v>
      </c>
      <c r="BV35" s="254" t="str">
        <f ca="1">VLOOKUP(AuswDipl0[[#This Row],[Nummer]],_Diplom,$BV$6,FALSE)</f>
        <v>nicht durchgeführt</v>
      </c>
      <c r="BW35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5" s="254" t="str">
        <f ca="1">VLOOKUP(AuswDipl0[[#This Row],[Nummer]],_Diplom,$BX$6,FALSE)</f>
        <v/>
      </c>
      <c r="BY35" s="254" t="str">
        <f ca="1">VLOOKUP(AuswDipl0[[#This Row],[Nummer]],_Diplom,$BY$6,FALSE)</f>
        <v/>
      </c>
      <c r="BZ35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5" s="254" t="str">
        <f ca="1">VLOOKUP(AuswDipl0[[#This Row],[Nummer]],_Diplom,$CA$6,FALSE)</f>
        <v/>
      </c>
      <c r="CB35" s="254" t="str">
        <f ca="1">VLOOKUP(AuswDipl0[[#This Row],[Nummer]],_Diplom,$CB$6,FALSE)</f>
        <v/>
      </c>
      <c r="CC35" s="254" t="str">
        <f ca="1">IF(AuswDipl0[[#This Row],[DrSp_Höchst]]&lt;&gt;"",VLOOKUP(AuswDipl0[[#This Row],[Nummer]],_Diplom,$CC$6,FALSE),VLOOKUP(AuswDipl0[[#This Row],[Nummer]],_Diplom,$CC$6,FALSE))</f>
        <v>Dritte Spielsportart</v>
      </c>
      <c r="CD35" s="254" t="str">
        <f ca="1">VLOOKUP(AuswDipl0[[#This Row],[Nummer]],_Diplom,$CD$6,FALSE)</f>
        <v>nicht durchgeführt</v>
      </c>
      <c r="CE35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5" s="254" t="str">
        <f ca="1">VLOOKUP(AuswDipl0[[#This Row],[Nummer]],_Diplom,$CF$6,FALSE)</f>
        <v/>
      </c>
      <c r="CG35" s="254" t="str">
        <f ca="1">VLOOKUP(AuswDipl0[[#This Row],[Nummer]],_Diplom,$CG$6,FALSE)</f>
        <v/>
      </c>
      <c r="CH35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5" s="254" t="str">
        <f ca="1">VLOOKUP(AuswDipl0[[#This Row],[Nummer]],_Diplom,$CI$6,FALSE)</f>
        <v/>
      </c>
      <c r="CJ35" s="254" t="str">
        <f ca="1">VLOOKUP(AuswDipl0[[#This Row],[Nummer]],_Diplom,$CJ$6,FALSE)</f>
        <v/>
      </c>
      <c r="CK35" s="254" t="str">
        <f ca="1">VLOOKUP(AuswDipl0[[#This Row],[Nummer]],_Diplom,CK$6,FALSE)</f>
        <v>Zu wenige Noten</v>
      </c>
      <c r="CL35" s="254">
        <f ca="1">VLOOKUP(AuswDipl0[[#This Row],[Nummer]],_Diplom,CL$6,FALSE)</f>
        <v>0</v>
      </c>
      <c r="CM35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5" s="254">
        <f ca="1">IFERROR(INDEX(INDIRECT($CN$4),MATCH(AuswDipl0[[#This Row],[BS_1_Med]],INDIRECT($CN$3),0)),6)</f>
        <v>6</v>
      </c>
      <c r="CO35" s="254" t="str">
        <f ca="1">VLOOKUP(AuswDipl0[[#This Row],[Nummer]],_Diplom,CO$6,FALSE)</f>
        <v>Zu wenige Noten</v>
      </c>
      <c r="CP35" s="254">
        <f>VLOOKUP(AuswDipl0[[#This Row],[Nummer]],_Diplom,CP$6,FALSE)</f>
        <v>0</v>
      </c>
      <c r="CQ35" s="254">
        <f ca="1">VLOOKUP(AuswDipl0[[#This Row],[Nummer]],_Diplom,CQ$6,FALSE)</f>
        <v>0</v>
      </c>
      <c r="CR35" s="254">
        <f ca="1">IF(AND(AuswDipl0[[#This Row],[BS_2_AnzGer]]&gt;=$CP$2,AND(ISNUMBER(AuswDipl0[[#This Row],[BS_2_Park]]),AuswDipl0[[#This Row],[BS_2_Park]]&gt;0)),1,0)</f>
        <v>0</v>
      </c>
      <c r="CS35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5" s="254">
        <f ca="1">IFERROR(INDEX(INDIRECT($CT$4),MATCH(AuswDipl0[[#This Row],[BS_2_Med]],INDIRECT($CT$3),0)),6)</f>
        <v>6</v>
      </c>
      <c r="CU35" s="254" t="str">
        <f ca="1">VLOOKUP(AuswDipl0[[#This Row],[Nummer]],_Diplom,CU$6,FALSE)</f>
        <v>Zu wenige Noten</v>
      </c>
      <c r="CV35" s="254">
        <f ca="1">IF(AuswDipl0[[#This Row],[BS_3_Erg]]=INDEX(StdFehler[StdFehler],4),0,IF(AuswDipl0[[#This Row],[BS_3_Erg]]=Stammdaten!$AX$19,Stammdaten!$AX$19,VALUE(AuswDipl0[[#This Row],[BS_3_Erg]])))</f>
        <v>0</v>
      </c>
      <c r="CW35" s="254" t="str">
        <f ca="1">IF(AuswDipl0[[#This Row],[BS_3_x]]=0,"",INDEX(INDIRECT(CW$4),MATCH(AuswDipl0[[#This Row],[BS_3_x]],INDIRECT(CW$3),0)))</f>
        <v/>
      </c>
      <c r="CX35" s="254">
        <f ca="1">IFERROR(INDEX(INDIRECT($CX$4),MATCH(AuswDipl0[[#This Row],[BS_3_Med]],INDIRECT($CX$3),0)),6)</f>
        <v>6</v>
      </c>
      <c r="CY35" s="254" t="str">
        <f ca="1">VLOOKUP(AuswDipl0[[#This Row],[Nummer]],_Diplom,CY$6,FALSE)</f>
        <v>Zu wenige Noten</v>
      </c>
      <c r="CZ35" s="254">
        <f ca="1">VLOOKUP(AuswDipl0[[#This Row],[Nummer]],_Diplom,CZ$6,FALSE)</f>
        <v>0</v>
      </c>
      <c r="DA35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5" s="254">
        <f ca="1">IFERROR(INDEX(INDIRECT($DB$4),MATCH(AuswDipl0[[#This Row],[BS_4_Med]],INDIRECT($DB$3),0)),6)</f>
        <v>6</v>
      </c>
    </row>
    <row r="36" spans="1:106" ht="12" customHeight="1" x14ac:dyDescent="0.25">
      <c r="A36" s="254">
        <v>30</v>
      </c>
      <c r="B36" s="254" t="str">
        <f ca="1">VLOOKUP(AuswDipl0[[#This Row],[Nummer]],_Diplom,B$6,FALSE)</f>
        <v>Sprintdisziplinen nicht durchgeführt</v>
      </c>
      <c r="C36" s="254" t="str">
        <f ca="1">IFERROR(VLOOKUP(AuswDipl0[[#This Row],[Sprint0]],INDIRECT($A$2),1,0),$B$4)</f>
        <v>Sprintdisziplinen</v>
      </c>
      <c r="D36" s="254" t="str">
        <f ca="1">IF(AuswDipl0[[#This Row],[Sprint00]]=$B$4,MID(AuswDipl0[[#This Row],[Sprint0]],FIND(" ",AuswDipl0[[#This Row],[Sprint0]],1)+1,LEN(AuswDipl0[[#This Row],[Sprint0]])),"")</f>
        <v>nicht durchgeführt</v>
      </c>
      <c r="E36" s="254" t="str">
        <f ca="1">IF(AuswDipl0[[#This Row],[Sprint000]]=Stammdaten!$AY$27,AuswDipl0[[#This Row],[Sprint000]],"")</f>
        <v>nicht durchgeführt</v>
      </c>
      <c r="F36" s="254" t="str">
        <f ca="1">IF(VLOOKUP(AuswDipl0[[#This Row],[Nummer]],_Diplom,F$6,FALSE)="",""," "&amp;VLOOKUP(AuswDipl0[[#This Row],[Nummer]],_Diplom,F$6,FALSE))</f>
        <v/>
      </c>
      <c r="G36" s="254" t="str">
        <f ca="1">IFERROR(IF(AuswDipl0[[#This Row],[Sprint000]]=TRIM(Stammdaten!$AX$25),AuswDipl0[[#This Row],[Sprint000]],VLOOKUP(AuswDipl0[[#This Row],[Nummer]],_Diplom,G$6,FALSE)&amp;AuswDipl0[[#This Row],[SprintMass]]),"")</f>
        <v/>
      </c>
      <c r="H36" s="254" t="str">
        <f ca="1">IF(VLOOKUP(AuswDipl0[[#This Row],[Nummer]],_Diplom,H$6,FALSE)&lt;&gt;"","("&amp;VLOOKUP(AuswDipl0[[#This Row],[Nummer]],_Diplom,H$6,FALSE)&amp;")","")</f>
        <v/>
      </c>
      <c r="I36" s="254" t="str">
        <f ca="1">VLOOKUP(AuswDipl0[[#This Row],[Nummer]],_Diplom,I$6,FALSE)</f>
        <v>Ausdauerdisziplinen nicht durchgeführt</v>
      </c>
      <c r="J36" s="254" t="str">
        <f ca="1">IFERROR(VLOOKUP(AuswDipl0[[#This Row],[Ausdauer0]],INDIRECT($A$2),1,0),$I$4)</f>
        <v>Ausdauerdisziplinen</v>
      </c>
      <c r="K36" s="254" t="str">
        <f ca="1">IF(AuswDipl0[[#This Row],[Ausdauer00]]=$I$4,MID(AuswDipl0[[#This Row],[Ausdauer0]],FIND(" ",AuswDipl0[[#This Row],[Ausdauer0]],1)+1,LEN(AuswDipl0[[#This Row],[Ausdauer0]])),"")</f>
        <v>nicht durchgeführt</v>
      </c>
      <c r="L36" s="254" t="str">
        <f ca="1">IF(AuswDipl0[[#This Row],[Ausdauer000]]=Stammdaten!$AY$27,AuswDipl0[[#This Row],[Ausdauer000]],"")</f>
        <v>nicht durchgeführt</v>
      </c>
      <c r="M36" s="254" t="str">
        <f ca="1">IF(VLOOKUP(AuswDipl0[[#This Row],[Nummer]],_Diplom,M$6,FALSE)="",""," "&amp;VLOOKUP(AuswDipl0[[#This Row],[Nummer]],_Diplom,M$6,FALSE))</f>
        <v/>
      </c>
      <c r="N36" s="254" t="str">
        <f ca="1">IFERROR(IF(AuswDipl0[[#This Row],[Ausdauer000]]=TRIM(Stammdaten!$AX$25),AuswDipl0[[#This Row],[Ausdauer000]],VLOOKUP(AuswDipl0[[#This Row],[Nummer]],_Diplom,N$6,FALSE)&amp;AuswDipl0[[#This Row],[AusdauerMass]]),"")</f>
        <v/>
      </c>
      <c r="O36" s="254" t="str">
        <f ca="1">IF(VLOOKUP(AuswDipl0[[#This Row],[Nummer]],_Diplom,O$6,FALSE)&lt;&gt;"","("&amp;VLOOKUP(AuswDipl0[[#This Row],[Nummer]],_Diplom,O$6,FALSE)&amp;")","")</f>
        <v/>
      </c>
      <c r="P36" s="254" t="str">
        <f ca="1">VLOOKUP(AuswDipl0[[#This Row],[Nummer]],_Diplom,P$6,FALSE)</f>
        <v>Sprungdisziplinen nicht durchgeführt</v>
      </c>
      <c r="Q36" s="254" t="str">
        <f ca="1">IFERROR(VLOOKUP(AuswDipl0[[#This Row],[Sprung0]],INDIRECT($A$2),1,0),$P$4)</f>
        <v>Sprungdisziplinen</v>
      </c>
      <c r="R36" s="254" t="str">
        <f ca="1">IF(AuswDipl0[[#This Row],[Sprung00]]=$P$4,MID(AuswDipl0[[#This Row],[Sprung0]],FIND(" ",AuswDipl0[[#This Row],[Sprung0]],1)+1,LEN(AuswDipl0[[#This Row],[Sprung0]])),"")</f>
        <v>nicht durchgeführt</v>
      </c>
      <c r="S36" s="254" t="str">
        <f ca="1">IF(AuswDipl0[[#This Row],[Sprung000]]=Stammdaten!$AY$27,AuswDipl0[[#This Row],[Sprung000]],"")</f>
        <v>nicht durchgeführt</v>
      </c>
      <c r="T36" s="254" t="str">
        <f ca="1">IF(VLOOKUP(AuswDipl0[[#This Row],[Nummer]],_Diplom,T$6,FALSE)="",""," "&amp;VLOOKUP(AuswDipl0[[#This Row],[Nummer]],_Diplom,T$6,FALSE))</f>
        <v/>
      </c>
      <c r="U36" s="254" t="str">
        <f ca="1">IFERROR(IF(AuswDipl0[[#This Row],[Sprung000]]=TRIM(Stammdaten!$AX$25),AuswDipl0[[#This Row],[Sprung000]],VLOOKUP(AuswDipl0[[#This Row],[Nummer]],_Diplom,U$6,FALSE)&amp;AuswDipl0[[#This Row],[SprungMass]]),"")</f>
        <v/>
      </c>
      <c r="V36" s="254" t="str">
        <f ca="1">IF(VLOOKUP(AuswDipl0[[#This Row],[Nummer]],_Diplom,V$6,FALSE)&lt;&gt;"","("&amp;VLOOKUP(AuswDipl0[[#This Row],[Nummer]],_Diplom,V$6,FALSE)&amp;")","")</f>
        <v/>
      </c>
      <c r="W36" s="254" t="str">
        <f ca="1">VLOOKUP(AuswDipl0[[#This Row],[Nummer]],_Diplom,W$6,FALSE)</f>
        <v>Wurfdisziplinen nicht durchgeführt</v>
      </c>
      <c r="X36" s="254" t="str">
        <f ca="1">IFERROR(VLOOKUP(AuswDipl0[[#This Row],[Wurf0]],INDIRECT($A$2),1,0),$W$4)</f>
        <v>Wurfdisziplinen</v>
      </c>
      <c r="Y36" s="254" t="str">
        <f ca="1">IF(AuswDipl0[[#This Row],[Wurf00]]=$W$4,MID(AuswDipl0[[#This Row],[Wurf0]],FIND(" ",AuswDipl0[[#This Row],[Wurf0]],1)+1,LEN(AuswDipl0[[#This Row],[Wurf0]])),"")</f>
        <v>nicht durchgeführt</v>
      </c>
      <c r="Z36" s="254" t="str">
        <f ca="1">IF(AuswDipl0[[#This Row],[Wurf000]]=Stammdaten!$AY$27,AuswDipl0[[#This Row],[Wurf000]],"")</f>
        <v>nicht durchgeführt</v>
      </c>
      <c r="AA36" s="254" t="str">
        <f ca="1">IF(VLOOKUP(AuswDipl0[[#This Row],[Nummer]],_Diplom,AA$6,FALSE)="",""," "&amp;VLOOKUP(AuswDipl0[[#This Row],[Nummer]],_Diplom,AA$6,FALSE))</f>
        <v/>
      </c>
      <c r="AB36" s="254" t="str">
        <f ca="1">IFERROR(IF(AuswDipl0[[#This Row],[Wurf000]]=TRIM(Stammdaten!$AX$25),AuswDipl0[[#This Row],[Wurf000]],VLOOKUP(AuswDipl0[[#This Row],[Nummer]],_Diplom,AB$6,FALSE)&amp;AuswDipl0[[#This Row],[WurfMass]]),"")</f>
        <v/>
      </c>
      <c r="AC36" s="254" t="str">
        <f ca="1">IF(VLOOKUP(AuswDipl0[[#This Row],[Nummer]],_Diplom,AC$6,FALSE)&lt;&gt;"","("&amp;VLOOKUP(AuswDipl0[[#This Row],[Nummer]],_Diplom,AC$6,FALSE)&amp;")","")</f>
        <v/>
      </c>
      <c r="AD36" s="254" t="str">
        <f ca="1">IF(AuswDipl0[[#This Row],[ErGe_Höchst]]&lt;&gt;"",VLOOKUP(AuswDipl0[[#This Row],[Nummer]],_Diplom,$AD$6,FALSE),VLOOKUP(AuswDipl0[[#This Row],[Nummer]],_Diplom,$AD$6,FALSE))</f>
        <v>Erstes Gerät</v>
      </c>
      <c r="AE36" s="254" t="str">
        <f ca="1">VLOOKUP(AuswDipl0[[#This Row],[Nummer]],_Diplom,$AE$6,FALSE)</f>
        <v>nicht durchgeführt</v>
      </c>
      <c r="AF36" s="254" t="str">
        <f ca="1">IF(AuswDipl0[[#This Row],[ErGe_Höchst]]&lt;&gt;"",AuswDipl0[[#This Row],[ErGe_Höchst]],AuswDipl0[[#This Row],[ErGe_Txt2]])</f>
        <v>nicht durchgeführt</v>
      </c>
      <c r="AG36" s="254" t="str">
        <f ca="1">VLOOKUP(AuswDipl0[[#This Row],[Nummer]],_Diplom,$AG$6,FALSE)</f>
        <v/>
      </c>
      <c r="AH36" s="254" t="str">
        <f>VLOOKUP(AuswDipl0[[#This Row],[Nummer]],_Diplom,$AH$6,FALSE)</f>
        <v/>
      </c>
      <c r="AI36" s="254" t="str">
        <f ca="1">IF(AuswDipl0[[#This Row],[ErGe_Txt2]]=Stammdaten!$AX$19,AuswDipl0[[#This Row],[ErGe_Txt2]],IF(ISNUMBER(VALUE(AuswDipl0[[#This Row],[ErGe_Res1]])),AuswDipl0[[#This Row],[ErGe_Res1]]&amp;" "&amp;AuswDipl0[[#This Row],[ErGe_Mass]],""))</f>
        <v/>
      </c>
      <c r="AJ36" s="254" t="str">
        <f ca="1">VLOOKUP(AuswDipl0[[#This Row],[Nummer]],_Diplom,$AJ$6,FALSE)</f>
        <v/>
      </c>
      <c r="AK36" s="254" t="str">
        <f ca="1">IF(AuswDipl0[[#This Row],[ZwGe_Höchst]]&lt;&gt;"",VLOOKUP(AuswDipl0[[#This Row],[Nummer]],_Diplom,$AK$6,FALSE),VLOOKUP(AuswDipl0[[#This Row],[Nummer]],_Diplom,$AK$6,FALSE))</f>
        <v>Zweites Gerät</v>
      </c>
      <c r="AL36" s="254" t="str">
        <f ca="1">VLOOKUP(AuswDipl0[[#This Row],[Nummer]],_Diplom,$AL$6,FALSE)</f>
        <v>nicht durchgeführt</v>
      </c>
      <c r="AM36" s="254" t="str">
        <f ca="1">IF(AuswDipl0[[#This Row],[ZwGe_Höchst]]&lt;&gt;"",AuswDipl0[[#This Row],[ZwGe_Höchst]],AuswDipl0[[#This Row],[ZwGe_Txt2]])</f>
        <v>nicht durchgeführt</v>
      </c>
      <c r="AN36" s="254" t="str">
        <f ca="1">VLOOKUP(AuswDipl0[[#This Row],[Nummer]],_Diplom,$AN$6,FALSE)</f>
        <v/>
      </c>
      <c r="AO36" s="254" t="str">
        <f>VLOOKUP(AuswDipl0[[#This Row],[Nummer]],_Diplom,$AO$6,FALSE)</f>
        <v/>
      </c>
      <c r="AP36" s="254" t="str">
        <f ca="1">IF(AuswDipl0[[#This Row],[ZwGe_Txt2]]=Stammdaten!$AX$19,AuswDipl0[[#This Row],[ZwGe_Txt2]],IF(ISNUMBER(VALUE(AuswDipl0[[#This Row],[ZwGe_Res1]])),AuswDipl0[[#This Row],[ZwGe_Res1]]&amp;" "&amp;AuswDipl0[[#This Row],[ZwGe_Mass]],""))</f>
        <v/>
      </c>
      <c r="AQ36" s="254" t="str">
        <f ca="1">VLOOKUP(AuswDipl0[[#This Row],[Nummer]],_Diplom,$AQ$6,FALSE)</f>
        <v/>
      </c>
      <c r="AR36" s="254" t="str">
        <f ca="1">IF(AuswDipl0[[#This Row],[DrGe_Höchst]]&lt;&gt;"",VLOOKUP(AuswDipl0[[#This Row],[Nummer]],_Diplom,$AR$6,FALSE),VLOOKUP(AuswDipl0[[#This Row],[Nummer]],_Diplom,$AR$6,FALSE))</f>
        <v>Drittes Gerät</v>
      </c>
      <c r="AS36" s="254" t="str">
        <f ca="1">VLOOKUP(AuswDipl0[[#This Row],[Nummer]],_Diplom,$AS$6,FALSE)</f>
        <v>nicht durchgeführt</v>
      </c>
      <c r="AT36" s="254" t="str">
        <f ca="1">IF(AuswDipl0[[#This Row],[DrGe_Höchst]]&lt;&gt;"",AuswDipl0[[#This Row],[DrGe_Höchst]],AuswDipl0[[#This Row],[DrGe_Txt2]])</f>
        <v>nicht durchgeführt</v>
      </c>
      <c r="AU36" s="254" t="str">
        <f ca="1">VLOOKUP(AuswDipl0[[#This Row],[Nummer]],_Diplom,$AU$6,FALSE)</f>
        <v/>
      </c>
      <c r="AV36" s="254" t="str">
        <f>VLOOKUP(AuswDipl0[[#This Row],[Nummer]],_Diplom,$AV$6,FALSE)</f>
        <v/>
      </c>
      <c r="AW36" s="254" t="str">
        <f ca="1">IF(AuswDipl0[[#This Row],[DrGe_Txt2]]=Stammdaten!$AX$19,AuswDipl0[[#This Row],[DrGe_Txt2]],IF(ISNUMBER(VALUE(AuswDipl0[[#This Row],[DrGe_Res1]])),AuswDipl0[[#This Row],[DrGe_Res1]]&amp;" "&amp;AuswDipl0[[#This Row],[DrGe_Mass]],""))</f>
        <v/>
      </c>
      <c r="AX36" s="254" t="str">
        <f ca="1">VLOOKUP(AuswDipl0[[#This Row],[Nummer]],_Diplom,$AX$6,FALSE)</f>
        <v/>
      </c>
      <c r="AY36" s="254" t="str">
        <f t="shared" si="0"/>
        <v>Parkour</v>
      </c>
      <c r="AZ36" s="254">
        <f ca="1">INDEX(INDIRECT($AZ$2),AuswDipl0[[#This Row],[Nummer]])</f>
        <v>0</v>
      </c>
      <c r="BA36" s="254" t="str">
        <f ca="1">IFERROR(IF(AuswDipl0[[#This Row],[ParkourPkte0]]&gt;0," "&amp;INDEX(INDIRECT($BA$2),MATCH($AY$1,INDIRECT($A$2),0)),""),"")</f>
        <v/>
      </c>
      <c r="BB36" s="254" t="str">
        <f ca="1">IFERROR(IF(AuswDipl0[[#This Row],[ParkourPkte0]]&gt;0,AuswDipl0[[#This Row],[ParkourPkte0]]&amp;AuswDipl0[[#This Row],[ParkourPkte00]],""),IF(ISERROR(AuswDipl0[[#This Row],[ParkourPkte0]]),TRIM(Stammdaten!$AX$25),""))</f>
        <v/>
      </c>
      <c r="BC36" s="254" t="str">
        <f ca="1">IF(AuswDipl0[[#This Row],[ParkourMax]]&lt;&gt;"",AuswDipl0[[#This Row],[ParkourMax]],Stammdaten!$AY$27)</f>
        <v>nicht durchgeführt</v>
      </c>
      <c r="BD36" s="254" t="str">
        <f ca="1">IFERROR(IF($BD$1=0,"",IF(AND(ISNUMBER(AuswDipl0[[#This Row],[ParkourPkte0]]),AuswDipl0[[#This Row],[ParkourPkte0]]&gt;0),"("&amp;INDEX(INDIRECT($BD$2),AuswDipl0[[#This Row],[Nummer]])&amp;")","")),"")</f>
        <v/>
      </c>
      <c r="BE36" s="254" t="str">
        <f ca="1">IF(AuswDipl0[[#This Row],[ParkourPkte1]]="","",VLOOKUP(AuswDipl0[[#This Row],[Nummer]],_Diplom,BE$6,FALSE))</f>
        <v/>
      </c>
      <c r="BF36" s="254" t="str">
        <f ca="1">VLOOKUP(AuswDipl0[[#This Row],[Nummer]],_Diplom,BF$6,FALSE)</f>
        <v>Darstellen und Tanzen</v>
      </c>
      <c r="BG36" s="254" t="str">
        <f ca="1">VLOOKUP(AuswDipl0[[#This Row],[Nummer]],_Diplom,BG$6,FALSE)</f>
        <v>nicht durchgeführt</v>
      </c>
      <c r="BH36" s="254" t="str">
        <f ca="1">IF(AuswDipl0[[#This Row],[BS_3_Max]]&lt;&gt;"",AuswDipl0[[#This Row],[BS_3_Max]],AuswDipl0[[#This Row],[BS_3_Txt1]])</f>
        <v>nicht durchgeführt</v>
      </c>
      <c r="BI36" s="254" t="str">
        <f ca="1">IF(VLOOKUP(AuswDipl0[[#This Row],[Nummer]],_Diplom,BI$6,FALSE)="","",VLOOKUP(AuswDipl0[[#This Row],[Nummer]],_Diplom,BI$6,FALSE))</f>
        <v/>
      </c>
      <c r="BJ36" s="254" t="str">
        <f ca="1">IF(AuswDipl0[[#This Row],[BS_3_Txt1]]=Stammdaten!$AX$19,AuswDipl0[[#This Row],[BS_3_Txt1]],AuswDipl0[[#This Row],[BS_3_Pkte0]]&amp;AuswDipl0[[#This Row],[BS_3_Mass]])</f>
        <v/>
      </c>
      <c r="BK36" s="254" t="str">
        <f ca="1">IFERROR(" "&amp;INDEX(INDIRECT($BK$2),MATCH(AuswDipl0[[#This Row],[BS_3_Txt0]],INDIRECT($A$2),0)),"")</f>
        <v/>
      </c>
      <c r="BL36" s="254" t="str">
        <f ca="1">VLOOKUP(AuswDipl0[[#This Row],[Nummer]],_Diplom,BL$6,FALSE)</f>
        <v/>
      </c>
      <c r="BM36" s="254" t="str">
        <f ca="1">IF(AuswDipl0[[#This Row],[ErSp_Höchst]]&lt;&gt;"",VLOOKUP(AuswDipl0[[#This Row],[Nummer]],_Diplom,$BM$6,FALSE),VLOOKUP(AuswDipl0[[#This Row],[Nummer]],_Diplom,$BM$6,FALSE))</f>
        <v>Erste Spielsportart</v>
      </c>
      <c r="BN36" s="254" t="str">
        <f ca="1">VLOOKUP(AuswDipl0[[#This Row],[Nummer]],_Diplom,$BN$6,FALSE)</f>
        <v>nicht durchgeführt</v>
      </c>
      <c r="BO36" s="254" t="str">
        <f ca="1">IF(AuswDipl0[[#This Row],[ErSp_Höchst]]&lt;&gt;"",AuswDipl0[[#This Row],[ErSp_Höchst]],IF(AuswDipl0[[#This Row],[ErSp_Txt2]]=Stammdaten!$AY$27,AuswDipl0[[#This Row],[ErSp_Txt2]],""))</f>
        <v>nicht durchgeführt</v>
      </c>
      <c r="BP36" s="254" t="str">
        <f ca="1">VLOOKUP(AuswDipl0[[#This Row],[Nummer]],_Diplom,$BP$6,FALSE)</f>
        <v/>
      </c>
      <c r="BQ36" s="254" t="str">
        <f ca="1">VLOOKUP(AuswDipl0[[#This Row],[Nummer]],_Diplom,$BQ$6,FALSE)</f>
        <v/>
      </c>
      <c r="BR36" s="254" t="str">
        <f ca="1">IF(AuswDipl0[[#This Row],[ErSp_Txt2]]=Stammdaten!$AX$19,AuswDipl0[[#This Row],[ErSp_Txt2]],IF(ISNUMBER(VALUE(AuswDipl0[[#This Row],[ErSp_Res1]])),AuswDipl0[[#This Row],[ErSp_Res1]]&amp;" "&amp;AuswDipl0[[#This Row],[ErSp_Mass]],""))</f>
        <v/>
      </c>
      <c r="BS36" s="254" t="str">
        <f ca="1">VLOOKUP(AuswDipl0[[#This Row],[Nummer]],_Diplom,$BS$6,FALSE)</f>
        <v/>
      </c>
      <c r="BT36" s="254" t="str">
        <f ca="1">VLOOKUP(AuswDipl0[[#This Row],[Nummer]],_Diplom,$BT$6,FALSE)</f>
        <v/>
      </c>
      <c r="BU36" s="254" t="str">
        <f ca="1">IF(AuswDipl0[[#This Row],[ZwSp_Höchst]]&lt;&gt;"",VLOOKUP(AuswDipl0[[#This Row],[Nummer]],_Diplom,$BU$6,FALSE),VLOOKUP(AuswDipl0[[#This Row],[Nummer]],_Diplom,$BU$6,FALSE))</f>
        <v>Zweite Spielsportart</v>
      </c>
      <c r="BV36" s="254" t="str">
        <f ca="1">VLOOKUP(AuswDipl0[[#This Row],[Nummer]],_Diplom,$BV$6,FALSE)</f>
        <v>nicht durchgeführt</v>
      </c>
      <c r="BW36" s="254" t="str">
        <f ca="1">IF(AuswDipl0[[#This Row],[ZwSp_Höchst]]&lt;&gt;"",AuswDipl0[[#This Row],[ZwSp_Höchst]],IF(AuswDipl0[[#This Row],[ZwSp_Txt2]]=Stammdaten!$AY$27,AuswDipl0[[#This Row],[ZwSp_Txt2]],""))</f>
        <v>nicht durchgeführt</v>
      </c>
      <c r="BX36" s="254" t="str">
        <f ca="1">VLOOKUP(AuswDipl0[[#This Row],[Nummer]],_Diplom,$BX$6,FALSE)</f>
        <v/>
      </c>
      <c r="BY36" s="254" t="str">
        <f ca="1">VLOOKUP(AuswDipl0[[#This Row],[Nummer]],_Diplom,$BY$6,FALSE)</f>
        <v/>
      </c>
      <c r="BZ36" s="254" t="str">
        <f ca="1">IF(AuswDipl0[[#This Row],[ZwSp_Txt2]]=Stammdaten!$AX$19,AuswDipl0[[#This Row],[ZwSp_Txt2]],IF(ISNUMBER(VALUE(AuswDipl0[[#This Row],[ZwSp_Res1]])),AuswDipl0[[#This Row],[ZwSp_Res1]]&amp;" "&amp;AuswDipl0[[#This Row],[ZwSp_Mass]],""))</f>
        <v/>
      </c>
      <c r="CA36" s="254" t="str">
        <f ca="1">VLOOKUP(AuswDipl0[[#This Row],[Nummer]],_Diplom,$CA$6,FALSE)</f>
        <v/>
      </c>
      <c r="CB36" s="254" t="str">
        <f ca="1">VLOOKUP(AuswDipl0[[#This Row],[Nummer]],_Diplom,$CB$6,FALSE)</f>
        <v/>
      </c>
      <c r="CC36" s="254" t="str">
        <f ca="1">IF(AuswDipl0[[#This Row],[DrSp_Höchst]]&lt;&gt;"",VLOOKUP(AuswDipl0[[#This Row],[Nummer]],_Diplom,$CC$6,FALSE),VLOOKUP(AuswDipl0[[#This Row],[Nummer]],_Diplom,$CC$6,FALSE))</f>
        <v>Dritte Spielsportart</v>
      </c>
      <c r="CD36" s="254" t="str">
        <f ca="1">VLOOKUP(AuswDipl0[[#This Row],[Nummer]],_Diplom,$CD$6,FALSE)</f>
        <v>nicht durchgeführt</v>
      </c>
      <c r="CE36" s="254" t="str">
        <f ca="1">IF(AuswDipl0[[#This Row],[DrSp_Höchst]]&lt;&gt;"",AuswDipl0[[#This Row],[DrSp_Höchst]],IF(AuswDipl0[[#This Row],[DrSp_Txt2]]=Stammdaten!$AY$27,AuswDipl0[[#This Row],[DrSp_Txt2]],""))</f>
        <v>nicht durchgeführt</v>
      </c>
      <c r="CF36" s="254" t="str">
        <f ca="1">VLOOKUP(AuswDipl0[[#This Row],[Nummer]],_Diplom,$CF$6,FALSE)</f>
        <v/>
      </c>
      <c r="CG36" s="254" t="str">
        <f ca="1">VLOOKUP(AuswDipl0[[#This Row],[Nummer]],_Diplom,$CG$6,FALSE)</f>
        <v/>
      </c>
      <c r="CH36" s="254" t="str">
        <f ca="1">IF(AuswDipl0[[#This Row],[DrSp_Txt2]]=Stammdaten!$AX$19,AuswDipl0[[#This Row],[DrSp_Txt2]],IF(ISNUMBER(VALUE(AuswDipl0[[#This Row],[DrSp_Res1]])),AuswDipl0[[#This Row],[DrSp_Res1]]&amp;" "&amp;AuswDipl0[[#This Row],[DrSp_Mass]],""))</f>
        <v/>
      </c>
      <c r="CI36" s="254" t="str">
        <f ca="1">VLOOKUP(AuswDipl0[[#This Row],[Nummer]],_Diplom,$CI$6,FALSE)</f>
        <v/>
      </c>
      <c r="CJ36" s="254" t="str">
        <f ca="1">VLOOKUP(AuswDipl0[[#This Row],[Nummer]],_Diplom,$CJ$6,FALSE)</f>
        <v/>
      </c>
      <c r="CK36" s="254" t="str">
        <f ca="1">VLOOKUP(AuswDipl0[[#This Row],[Nummer]],_Diplom,CK$6,FALSE)</f>
        <v>Zu wenige Noten</v>
      </c>
      <c r="CL36" s="254">
        <f ca="1">VLOOKUP(AuswDipl0[[#This Row],[Nummer]],_Diplom,CL$6,FALSE)</f>
        <v>0</v>
      </c>
      <c r="CM36" s="254" t="str">
        <f ca="1">IF(AuswDipl0[[#This Row],[BS_1_Erg]]=Stammdaten!$AX$19,Stammdaten!$AX$19,IF(AuswDipl0[[#This Row],[BS_1_Anz]]=$CL$2,INDEX(INDIRECT(CM$4),MATCH(AuswDipl0[[#This Row],[BS_1_Erg]],INDIRECT(CM$3),0)),""))</f>
        <v/>
      </c>
      <c r="CN36" s="254">
        <f ca="1">IFERROR(INDEX(INDIRECT($CN$4),MATCH(AuswDipl0[[#This Row],[BS_1_Med]],INDIRECT($CN$3),0)),6)</f>
        <v>6</v>
      </c>
      <c r="CO36" s="254" t="str">
        <f ca="1">VLOOKUP(AuswDipl0[[#This Row],[Nummer]],_Diplom,CO$6,FALSE)</f>
        <v>Zu wenige Noten</v>
      </c>
      <c r="CP36" s="254">
        <f>VLOOKUP(AuswDipl0[[#This Row],[Nummer]],_Diplom,CP$6,FALSE)</f>
        <v>0</v>
      </c>
      <c r="CQ36" s="254">
        <f ca="1">VLOOKUP(AuswDipl0[[#This Row],[Nummer]],_Diplom,CQ$6,FALSE)</f>
        <v>0</v>
      </c>
      <c r="CR36" s="254">
        <f ca="1">IF(AND(AuswDipl0[[#This Row],[BS_2_AnzGer]]&gt;=$CP$2,AND(ISNUMBER(AuswDipl0[[#This Row],[BS_2_Park]]),AuswDipl0[[#This Row],[BS_2_Park]]&gt;0)),1,0)</f>
        <v>0</v>
      </c>
      <c r="CS36" s="254" t="str">
        <f ca="1">IF(AuswDipl0[[#This Row],[BS_2_Erg]]=Stammdaten!$AX$19,Stammdaten!$AX$19,IF(AuswDipl0[[#This Row],[BS_2_Erfüllt]]=$CR$2,INDEX(INDIRECT(CS$4),MATCH(AuswDipl0[[#This Row],[BS_2_Erg]],INDIRECT(CS$3),0)),""))</f>
        <v/>
      </c>
      <c r="CT36" s="254">
        <f ca="1">IFERROR(INDEX(INDIRECT($CT$4),MATCH(AuswDipl0[[#This Row],[BS_2_Med]],INDIRECT($CT$3),0)),6)</f>
        <v>6</v>
      </c>
      <c r="CU36" s="254" t="str">
        <f ca="1">VLOOKUP(AuswDipl0[[#This Row],[Nummer]],_Diplom,CU$6,FALSE)</f>
        <v>Zu wenige Noten</v>
      </c>
      <c r="CV36" s="254">
        <f ca="1">IF(AuswDipl0[[#This Row],[BS_3_Erg]]=INDEX(StdFehler[StdFehler],4),0,IF(AuswDipl0[[#This Row],[BS_3_Erg]]=Stammdaten!$AX$19,Stammdaten!$AX$19,VALUE(AuswDipl0[[#This Row],[BS_3_Erg]])))</f>
        <v>0</v>
      </c>
      <c r="CW36" s="254" t="str">
        <f ca="1">IF(AuswDipl0[[#This Row],[BS_3_x]]=0,"",INDEX(INDIRECT(CW$4),MATCH(AuswDipl0[[#This Row],[BS_3_x]],INDIRECT(CW$3),0)))</f>
        <v/>
      </c>
      <c r="CX36" s="254">
        <f ca="1">IFERROR(INDEX(INDIRECT($CX$4),MATCH(AuswDipl0[[#This Row],[BS_3_Med]],INDIRECT($CX$3),0)),6)</f>
        <v>6</v>
      </c>
      <c r="CY36" s="254" t="str">
        <f ca="1">VLOOKUP(AuswDipl0[[#This Row],[Nummer]],_Diplom,CY$6,FALSE)</f>
        <v>Zu wenige Noten</v>
      </c>
      <c r="CZ36" s="254">
        <f ca="1">VLOOKUP(AuswDipl0[[#This Row],[Nummer]],_Diplom,CZ$6,FALSE)</f>
        <v>0</v>
      </c>
      <c r="DA36" s="254" t="str">
        <f ca="1">IF(AuswDipl0[[#This Row],[BS_4_Erg]]=Stammdaten!$AX$19,Stammdaten!$AX$19,IF(AuswDipl0[[#This Row],[BS_4_Anz]]&gt;=$CZ$2,INDEX(INDIRECT(DA$4),MATCH(AuswDipl0[[#This Row],[BS_4_Erg]],INDIRECT(DA$3),0)),""))</f>
        <v/>
      </c>
      <c r="DB36" s="254">
        <f ca="1">IFERROR(INDEX(INDIRECT($DB$4),MATCH(AuswDipl0[[#This Row],[BS_4_Med]],INDIRECT($DB$3),0)),6)</f>
        <v>6</v>
      </c>
    </row>
    <row r="37" spans="1:106" x14ac:dyDescent="0.3">
      <c r="CU37" s="279"/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B1:U504"/>
  <sheetViews>
    <sheetView zoomScale="70" zoomScaleNormal="70" workbookViewId="0">
      <selection activeCell="A37" sqref="A37"/>
    </sheetView>
  </sheetViews>
  <sheetFormatPr baseColWidth="10" defaultRowHeight="14.4" x14ac:dyDescent="0.3"/>
  <cols>
    <col min="1" max="1" width="4.109375" customWidth="1"/>
    <col min="4" max="4" width="2.6640625" customWidth="1"/>
    <col min="5" max="5" width="14.6640625" customWidth="1"/>
    <col min="6" max="6" width="10.5546875" bestFit="1" customWidth="1"/>
    <col min="8" max="8" width="2.6640625" customWidth="1"/>
    <col min="9" max="9" width="14.6640625" customWidth="1"/>
    <col min="10" max="10" width="10.5546875" bestFit="1" customWidth="1"/>
    <col min="12" max="12" width="2.6640625" customWidth="1"/>
    <col min="13" max="13" width="14.6640625" bestFit="1" customWidth="1"/>
    <col min="15" max="15" width="2.6640625" customWidth="1"/>
    <col min="16" max="16" width="14.6640625" bestFit="1" customWidth="1"/>
    <col min="17" max="17" width="10.5546875" bestFit="1" customWidth="1"/>
    <col min="19" max="19" width="2.6640625" customWidth="1"/>
    <col min="20" max="20" width="17" customWidth="1"/>
  </cols>
  <sheetData>
    <row r="1" spans="2:21" x14ac:dyDescent="0.3">
      <c r="B1" t="str">
        <f>Stammdaten!$H$13</f>
        <v>Medaillen[Medaille]</v>
      </c>
      <c r="E1" t="s">
        <v>446</v>
      </c>
      <c r="G1" t="s">
        <v>445</v>
      </c>
    </row>
    <row r="2" spans="2:21" x14ac:dyDescent="0.3">
      <c r="B2" s="281" t="s">
        <v>444</v>
      </c>
      <c r="C2" t="s">
        <v>280</v>
      </c>
      <c r="E2" t="s">
        <v>289</v>
      </c>
      <c r="F2" t="s">
        <v>433</v>
      </c>
      <c r="G2" t="s">
        <v>280</v>
      </c>
      <c r="I2" t="s">
        <v>290</v>
      </c>
      <c r="J2" t="s">
        <v>434</v>
      </c>
      <c r="K2" t="s">
        <v>280</v>
      </c>
      <c r="M2" t="s">
        <v>291</v>
      </c>
      <c r="N2" t="s">
        <v>280</v>
      </c>
      <c r="P2" t="s">
        <v>292</v>
      </c>
      <c r="Q2" t="s">
        <v>435</v>
      </c>
      <c r="R2" t="s">
        <v>280</v>
      </c>
      <c r="T2" s="241" t="s">
        <v>294</v>
      </c>
      <c r="U2" s="178"/>
    </row>
    <row r="3" spans="2:21" x14ac:dyDescent="0.3">
      <c r="B3" s="283" t="str">
        <f>Stammdaten!$AX$19</f>
        <v>Dispensiert</v>
      </c>
      <c r="C3" t="s">
        <v>124</v>
      </c>
      <c r="E3" s="59" t="str">
        <f>Stammdaten!$AX$19</f>
        <v>Dispensiert</v>
      </c>
      <c r="F3" s="272" t="str">
        <f>TEXT(AuswDipl1[[#This Row],[BS_1]],"#.0")</f>
        <v>Dispensiert</v>
      </c>
      <c r="G3" t="str">
        <f ca="1">INDEX(INDIRECT($G$1),MATCH(AuswDipl1[[#This Row],[BS_1]],INDIRECT($E$1),0))</f>
        <v>Dispensiert</v>
      </c>
      <c r="I3" s="59" t="str">
        <f>Stammdaten!$AX$19</f>
        <v>Dispensiert</v>
      </c>
      <c r="J3" s="59" t="str">
        <f>TEXT(AuswDipl2[[#This Row],[BS_2]],"#.0")</f>
        <v>Dispensiert</v>
      </c>
      <c r="K3" t="str">
        <f ca="1">INDEX(INDIRECT($G$1),MATCH(AuswDipl2[[#This Row],[BS_2]],INDIRECT($E$1),0))</f>
        <v>Dispensiert</v>
      </c>
      <c r="M3" s="59" t="str">
        <f>Stammdaten!$AX$19</f>
        <v>Dispensiert</v>
      </c>
      <c r="N3" t="s">
        <v>124</v>
      </c>
      <c r="P3" s="3" t="str">
        <f>Stammdaten!$AX$19</f>
        <v>Dispensiert</v>
      </c>
      <c r="Q3" s="3" t="str">
        <f>TEXT(AuswDipl4[[#This Row],[BS_4]],"#.0")</f>
        <v>Dispensiert</v>
      </c>
      <c r="R3" t="str">
        <f ca="1">INDEX(INDIRECT($G$1),MATCH(AuswDipl4[[#This Row],[BS_4]],INDIRECT($E$1),0))</f>
        <v>Dispensiert</v>
      </c>
      <c r="T3" s="178" t="s">
        <v>293</v>
      </c>
      <c r="U3" s="178" t="s">
        <v>38</v>
      </c>
    </row>
    <row r="4" spans="2:21" x14ac:dyDescent="0.3">
      <c r="B4" s="282">
        <v>1</v>
      </c>
      <c r="C4" t="s">
        <v>97</v>
      </c>
      <c r="E4" s="59">
        <v>1</v>
      </c>
      <c r="F4" s="59" t="str">
        <f>TEXT(AuswDipl1[[#This Row],[BS_1]],"#.0")</f>
        <v>1.0</v>
      </c>
      <c r="G4" t="str">
        <f ca="1">INDEX(INDIRECT($G$1),MATCH(AuswDipl1[[#This Row],[BS_1]],INDIRECT($E$1),0))</f>
        <v>Absolviert</v>
      </c>
      <c r="I4" s="59">
        <v>1</v>
      </c>
      <c r="J4" s="59" t="str">
        <f>TEXT(AuswDipl2[[#This Row],[BS_2]],"#.0")</f>
        <v>1.0</v>
      </c>
      <c r="K4" t="str">
        <f ca="1">INDEX(INDIRECT($G$1),MATCH(AuswDipl2[[#This Row],[BS_2]],INDIRECT($E$1),0))</f>
        <v>Absolviert</v>
      </c>
      <c r="M4" s="121">
        <v>1</v>
      </c>
      <c r="N4" t="s">
        <v>97</v>
      </c>
      <c r="P4" s="59">
        <v>1</v>
      </c>
      <c r="Q4" s="59" t="str">
        <f>TEXT(AuswDipl4[[#This Row],[BS_4]],"#.0")</f>
        <v>1.0</v>
      </c>
      <c r="R4" t="str">
        <f ca="1">INDEX(INDIRECT($G$1),MATCH(AuswDipl4[[#This Row],[BS_4]],INDIRECT($E$1),0))</f>
        <v>Absolviert</v>
      </c>
      <c r="T4" s="280" t="s">
        <v>442</v>
      </c>
      <c r="U4" s="280" t="s">
        <v>97</v>
      </c>
    </row>
    <row r="5" spans="2:21" x14ac:dyDescent="0.3">
      <c r="B5" s="283">
        <v>1.01</v>
      </c>
      <c r="C5" t="s">
        <v>97</v>
      </c>
      <c r="E5" s="59">
        <v>1.1000000000000001</v>
      </c>
      <c r="F5" s="59" t="str">
        <f>TEXT(AuswDipl1[[#This Row],[BS_1]],"#.0")</f>
        <v>1.1</v>
      </c>
      <c r="G5" t="str">
        <f ca="1">INDEX(INDIRECT($G$1),MATCH(AuswDipl1[[#This Row],[BS_1]],INDIRECT($E$1),0))</f>
        <v>Absolviert</v>
      </c>
      <c r="I5" s="59">
        <v>1.1000000000000001</v>
      </c>
      <c r="J5" s="59" t="str">
        <f>TEXT(AuswDipl2[[#This Row],[BS_2]],"#.0")</f>
        <v>1.1</v>
      </c>
      <c r="K5" t="str">
        <f ca="1">INDEX(INDIRECT($G$1),MATCH(AuswDipl2[[#This Row],[BS_2]],INDIRECT($E$1),0))</f>
        <v>Absolviert</v>
      </c>
      <c r="M5" s="121">
        <v>1.25</v>
      </c>
      <c r="N5" t="s">
        <v>97</v>
      </c>
      <c r="P5" s="59">
        <v>1.1000000000000001</v>
      </c>
      <c r="Q5" s="59" t="str">
        <f>TEXT(AuswDipl4[[#This Row],[BS_4]],"#.0")</f>
        <v>1.1</v>
      </c>
      <c r="R5" t="str">
        <f ca="1">INDEX(INDIRECT($G$1),MATCH(AuswDipl4[[#This Row],[BS_4]],INDIRECT($E$1),0))</f>
        <v>Absolviert</v>
      </c>
      <c r="T5" s="280" t="s">
        <v>440</v>
      </c>
      <c r="U5" s="280" t="s">
        <v>283</v>
      </c>
    </row>
    <row r="6" spans="2:21" x14ac:dyDescent="0.3">
      <c r="B6" s="282">
        <v>1.02</v>
      </c>
      <c r="C6" t="s">
        <v>97</v>
      </c>
      <c r="E6" s="59">
        <v>1.2</v>
      </c>
      <c r="F6" s="59" t="str">
        <f>TEXT(AuswDipl1[[#This Row],[BS_1]],"#.0")</f>
        <v>1.2</v>
      </c>
      <c r="G6" t="str">
        <f ca="1">INDEX(INDIRECT($G$1),MATCH(AuswDipl1[[#This Row],[BS_1]],INDIRECT($E$1),0))</f>
        <v>Absolviert</v>
      </c>
      <c r="I6" s="59">
        <v>1.2</v>
      </c>
      <c r="J6" s="59" t="str">
        <f>TEXT(AuswDipl2[[#This Row],[BS_2]],"#.0")</f>
        <v>1.2</v>
      </c>
      <c r="K6" t="str">
        <f ca="1">INDEX(INDIRECT($G$1),MATCH(AuswDipl2[[#This Row],[BS_2]],INDIRECT($E$1),0))</f>
        <v>Absolviert</v>
      </c>
      <c r="M6" s="121">
        <v>1.5</v>
      </c>
      <c r="N6" t="s">
        <v>97</v>
      </c>
      <c r="P6" s="59">
        <v>1.2</v>
      </c>
      <c r="Q6" s="59" t="str">
        <f>TEXT(AuswDipl4[[#This Row],[BS_4]],"#.0")</f>
        <v>1.2</v>
      </c>
      <c r="R6" t="str">
        <f ca="1">INDEX(INDIRECT($G$1),MATCH(AuswDipl4[[#This Row],[BS_4]],INDIRECT($E$1),0))</f>
        <v>Absolviert</v>
      </c>
      <c r="T6" s="280" t="s">
        <v>441</v>
      </c>
      <c r="U6" s="280" t="s">
        <v>282</v>
      </c>
    </row>
    <row r="7" spans="2:21" x14ac:dyDescent="0.3">
      <c r="B7" s="283">
        <v>1.03</v>
      </c>
      <c r="C7" t="s">
        <v>97</v>
      </c>
      <c r="E7" s="59">
        <v>1.3</v>
      </c>
      <c r="F7" s="59" t="str">
        <f>TEXT(AuswDipl1[[#This Row],[BS_1]],"#.0")</f>
        <v>1.3</v>
      </c>
      <c r="G7" t="str">
        <f ca="1">INDEX(INDIRECT($G$1),MATCH(AuswDipl1[[#This Row],[BS_1]],INDIRECT($E$1),0))</f>
        <v>Absolviert</v>
      </c>
      <c r="I7" s="59">
        <v>1.3</v>
      </c>
      <c r="J7" s="59" t="str">
        <f>TEXT(AuswDipl2[[#This Row],[BS_2]],"#.0")</f>
        <v>1.3</v>
      </c>
      <c r="K7" t="str">
        <f ca="1">INDEX(INDIRECT($G$1),MATCH(AuswDipl2[[#This Row],[BS_2]],INDIRECT($E$1),0))</f>
        <v>Absolviert</v>
      </c>
      <c r="M7" s="121">
        <v>1.75</v>
      </c>
      <c r="N7" t="s">
        <v>97</v>
      </c>
      <c r="P7" s="59">
        <v>1.3</v>
      </c>
      <c r="Q7" s="59" t="str">
        <f>TEXT(AuswDipl4[[#This Row],[BS_4]],"#.0")</f>
        <v>1.3</v>
      </c>
      <c r="R7" t="str">
        <f ca="1">INDEX(INDIRECT($G$1),MATCH(AuswDipl4[[#This Row],[BS_4]],INDIRECT($E$1),0))</f>
        <v>Absolviert</v>
      </c>
      <c r="T7" s="280" t="s">
        <v>443</v>
      </c>
      <c r="U7" s="280" t="s">
        <v>281</v>
      </c>
    </row>
    <row r="8" spans="2:21" x14ac:dyDescent="0.3">
      <c r="B8" s="282">
        <v>1.04</v>
      </c>
      <c r="C8" t="s">
        <v>97</v>
      </c>
      <c r="E8" s="59">
        <v>1.4</v>
      </c>
      <c r="F8" s="59" t="str">
        <f>TEXT(AuswDipl1[[#This Row],[BS_1]],"#.0")</f>
        <v>1.4</v>
      </c>
      <c r="G8" t="str">
        <f ca="1">INDEX(INDIRECT($G$1),MATCH(AuswDipl1[[#This Row],[BS_1]],INDIRECT($E$1),0))</f>
        <v>Absolviert</v>
      </c>
      <c r="I8" s="59">
        <v>1.4</v>
      </c>
      <c r="J8" s="59" t="str">
        <f>TEXT(AuswDipl2[[#This Row],[BS_2]],"#.0")</f>
        <v>1.4</v>
      </c>
      <c r="K8" t="str">
        <f ca="1">INDEX(INDIRECT($G$1),MATCH(AuswDipl2[[#This Row],[BS_2]],INDIRECT($E$1),0))</f>
        <v>Absolviert</v>
      </c>
      <c r="M8" s="121">
        <v>2</v>
      </c>
      <c r="N8" t="s">
        <v>97</v>
      </c>
      <c r="P8" s="59">
        <v>1.4</v>
      </c>
      <c r="Q8" s="59" t="str">
        <f>TEXT(AuswDipl4[[#This Row],[BS_4]],"#.0")</f>
        <v>1.4</v>
      </c>
      <c r="R8" t="str">
        <f ca="1">INDEX(INDIRECT($G$1),MATCH(AuswDipl4[[#This Row],[BS_4]],INDIRECT($E$1),0))</f>
        <v>Absolviert</v>
      </c>
    </row>
    <row r="9" spans="2:21" x14ac:dyDescent="0.3">
      <c r="B9" s="283">
        <v>1.05</v>
      </c>
      <c r="C9" t="s">
        <v>97</v>
      </c>
      <c r="E9" s="59">
        <v>1.5</v>
      </c>
      <c r="F9" s="59" t="str">
        <f>TEXT(AuswDipl1[[#This Row],[BS_1]],"#.0")</f>
        <v>1.5</v>
      </c>
      <c r="G9" t="str">
        <f ca="1">INDEX(INDIRECT($G$1),MATCH(AuswDipl1[[#This Row],[BS_1]],INDIRECT($E$1),0))</f>
        <v>Absolviert</v>
      </c>
      <c r="I9" s="59">
        <v>1.5</v>
      </c>
      <c r="J9" s="59" t="str">
        <f>TEXT(AuswDipl2[[#This Row],[BS_2]],"#.0")</f>
        <v>1.5</v>
      </c>
      <c r="K9" t="str">
        <f ca="1">INDEX(INDIRECT($G$1),MATCH(AuswDipl2[[#This Row],[BS_2]],INDIRECT($E$1),0))</f>
        <v>Absolviert</v>
      </c>
      <c r="M9" s="121">
        <v>2.25</v>
      </c>
      <c r="N9" t="s">
        <v>97</v>
      </c>
      <c r="P9" s="59">
        <v>1.5</v>
      </c>
      <c r="Q9" s="59" t="str">
        <f>TEXT(AuswDipl4[[#This Row],[BS_4]],"#.0")</f>
        <v>1.5</v>
      </c>
      <c r="R9" t="str">
        <f ca="1">INDEX(INDIRECT($G$1),MATCH(AuswDipl4[[#This Row],[BS_4]],INDIRECT($E$1),0))</f>
        <v>Absolviert</v>
      </c>
    </row>
    <row r="10" spans="2:21" x14ac:dyDescent="0.3">
      <c r="B10" s="282">
        <v>1.06</v>
      </c>
      <c r="C10" t="s">
        <v>97</v>
      </c>
      <c r="E10" s="59">
        <v>1.6</v>
      </c>
      <c r="F10" s="59" t="str">
        <f>TEXT(AuswDipl1[[#This Row],[BS_1]],"#.0")</f>
        <v>1.6</v>
      </c>
      <c r="G10" t="str">
        <f ca="1">INDEX(INDIRECT($G$1),MATCH(AuswDipl1[[#This Row],[BS_1]],INDIRECT($E$1),0))</f>
        <v>Absolviert</v>
      </c>
      <c r="I10" s="59">
        <v>1.6</v>
      </c>
      <c r="J10" s="59" t="str">
        <f>TEXT(AuswDipl2[[#This Row],[BS_2]],"#.0")</f>
        <v>1.6</v>
      </c>
      <c r="K10" t="str">
        <f ca="1">INDEX(INDIRECT($G$1),MATCH(AuswDipl2[[#This Row],[BS_2]],INDIRECT($E$1),0))</f>
        <v>Absolviert</v>
      </c>
      <c r="M10" s="121">
        <v>2.5</v>
      </c>
      <c r="N10" t="s">
        <v>97</v>
      </c>
      <c r="P10" s="59">
        <v>1.6</v>
      </c>
      <c r="Q10" s="59" t="str">
        <f>TEXT(AuswDipl4[[#This Row],[BS_4]],"#.0")</f>
        <v>1.6</v>
      </c>
      <c r="R10" t="str">
        <f ca="1">INDEX(INDIRECT($G$1),MATCH(AuswDipl4[[#This Row],[BS_4]],INDIRECT($E$1),0))</f>
        <v>Absolviert</v>
      </c>
    </row>
    <row r="11" spans="2:21" x14ac:dyDescent="0.3">
      <c r="B11" s="283">
        <v>1.07</v>
      </c>
      <c r="C11" t="s">
        <v>97</v>
      </c>
      <c r="E11" s="59">
        <v>1.7</v>
      </c>
      <c r="F11" s="59" t="str">
        <f>TEXT(AuswDipl1[[#This Row],[BS_1]],"#.0")</f>
        <v>1.7</v>
      </c>
      <c r="G11" t="str">
        <f ca="1">INDEX(INDIRECT($G$1),MATCH(AuswDipl1[[#This Row],[BS_1]],INDIRECT($E$1),0))</f>
        <v>Absolviert</v>
      </c>
      <c r="I11" s="59">
        <v>1.7</v>
      </c>
      <c r="J11" s="59" t="str">
        <f>TEXT(AuswDipl2[[#This Row],[BS_2]],"#.0")</f>
        <v>1.7</v>
      </c>
      <c r="K11" t="str">
        <f ca="1">INDEX(INDIRECT($G$1),MATCH(AuswDipl2[[#This Row],[BS_2]],INDIRECT($E$1),0))</f>
        <v>Absolviert</v>
      </c>
      <c r="M11" s="121">
        <v>2.75</v>
      </c>
      <c r="N11" t="s">
        <v>97</v>
      </c>
      <c r="P11" s="59">
        <v>1.7</v>
      </c>
      <c r="Q11" s="59" t="str">
        <f>TEXT(AuswDipl4[[#This Row],[BS_4]],"#.0")</f>
        <v>1.7</v>
      </c>
      <c r="R11" t="str">
        <f ca="1">INDEX(INDIRECT($G$1),MATCH(AuswDipl4[[#This Row],[BS_4]],INDIRECT($E$1),0))</f>
        <v>Absolviert</v>
      </c>
    </row>
    <row r="12" spans="2:21" x14ac:dyDescent="0.3">
      <c r="B12" s="282">
        <v>1.08</v>
      </c>
      <c r="C12" t="s">
        <v>97</v>
      </c>
      <c r="E12" s="59">
        <v>1.8</v>
      </c>
      <c r="F12" s="59" t="str">
        <f>TEXT(AuswDipl1[[#This Row],[BS_1]],"#.0")</f>
        <v>1.8</v>
      </c>
      <c r="G12" t="str">
        <f ca="1">INDEX(INDIRECT($G$1),MATCH(AuswDipl1[[#This Row],[BS_1]],INDIRECT($E$1),0))</f>
        <v>Absolviert</v>
      </c>
      <c r="I12" s="59">
        <v>1.8</v>
      </c>
      <c r="J12" s="59" t="str">
        <f>TEXT(AuswDipl2[[#This Row],[BS_2]],"#.0")</f>
        <v>1.8</v>
      </c>
      <c r="K12" t="str">
        <f ca="1">INDEX(INDIRECT($G$1),MATCH(AuswDipl2[[#This Row],[BS_2]],INDIRECT($E$1),0))</f>
        <v>Absolviert</v>
      </c>
      <c r="M12" s="121">
        <v>3</v>
      </c>
      <c r="N12" t="s">
        <v>97</v>
      </c>
      <c r="P12" s="59">
        <v>1.8</v>
      </c>
      <c r="Q12" s="59" t="str">
        <f>TEXT(AuswDipl4[[#This Row],[BS_4]],"#.0")</f>
        <v>1.8</v>
      </c>
      <c r="R12" t="str">
        <f ca="1">INDEX(INDIRECT($G$1),MATCH(AuswDipl4[[#This Row],[BS_4]],INDIRECT($E$1),0))</f>
        <v>Absolviert</v>
      </c>
    </row>
    <row r="13" spans="2:21" x14ac:dyDescent="0.3">
      <c r="B13" s="283">
        <v>1.0900000000000001</v>
      </c>
      <c r="C13" t="s">
        <v>97</v>
      </c>
      <c r="E13" s="59">
        <v>1.9</v>
      </c>
      <c r="F13" s="59" t="str">
        <f>TEXT(AuswDipl1[[#This Row],[BS_1]],"#.0")</f>
        <v>1.9</v>
      </c>
      <c r="G13" t="str">
        <f ca="1">INDEX(INDIRECT($G$1),MATCH(AuswDipl1[[#This Row],[BS_1]],INDIRECT($E$1),0))</f>
        <v>Absolviert</v>
      </c>
      <c r="I13" s="59">
        <v>1.9</v>
      </c>
      <c r="J13" s="59" t="str">
        <f>TEXT(AuswDipl2[[#This Row],[BS_2]],"#.0")</f>
        <v>1.9</v>
      </c>
      <c r="K13" t="str">
        <f ca="1">INDEX(INDIRECT($G$1),MATCH(AuswDipl2[[#This Row],[BS_2]],INDIRECT($E$1),0))</f>
        <v>Absolviert</v>
      </c>
      <c r="M13" s="121">
        <v>3.25</v>
      </c>
      <c r="N13" t="s">
        <v>97</v>
      </c>
      <c r="P13" s="59">
        <v>1.9</v>
      </c>
      <c r="Q13" s="59" t="str">
        <f>TEXT(AuswDipl4[[#This Row],[BS_4]],"#.0")</f>
        <v>1.9</v>
      </c>
      <c r="R13" t="str">
        <f ca="1">INDEX(INDIRECT($G$1),MATCH(AuswDipl4[[#This Row],[BS_4]],INDIRECT($E$1),0))</f>
        <v>Absolviert</v>
      </c>
    </row>
    <row r="14" spans="2:21" x14ac:dyDescent="0.3">
      <c r="B14" s="282">
        <v>1.1000000000000001</v>
      </c>
      <c r="C14" t="s">
        <v>97</v>
      </c>
      <c r="E14" s="59">
        <v>2</v>
      </c>
      <c r="F14" s="59" t="str">
        <f>TEXT(AuswDipl1[[#This Row],[BS_1]],"#.0")</f>
        <v>2.0</v>
      </c>
      <c r="G14" t="str">
        <f ca="1">INDEX(INDIRECT($G$1),MATCH(AuswDipl1[[#This Row],[BS_1]],INDIRECT($E$1),0))</f>
        <v>Absolviert</v>
      </c>
      <c r="I14" s="59">
        <v>2</v>
      </c>
      <c r="J14" s="59" t="str">
        <f>TEXT(AuswDipl2[[#This Row],[BS_2]],"#.0")</f>
        <v>2.0</v>
      </c>
      <c r="K14" t="str">
        <f ca="1">INDEX(INDIRECT($G$1),MATCH(AuswDipl2[[#This Row],[BS_2]],INDIRECT($E$1),0))</f>
        <v>Absolviert</v>
      </c>
      <c r="M14" s="121">
        <v>3.5</v>
      </c>
      <c r="N14" t="s">
        <v>97</v>
      </c>
      <c r="P14" s="59">
        <v>2</v>
      </c>
      <c r="Q14" s="59" t="str">
        <f>TEXT(AuswDipl4[[#This Row],[BS_4]],"#.0")</f>
        <v>2.0</v>
      </c>
      <c r="R14" t="str">
        <f ca="1">INDEX(INDIRECT($G$1),MATCH(AuswDipl4[[#This Row],[BS_4]],INDIRECT($E$1),0))</f>
        <v>Absolviert</v>
      </c>
    </row>
    <row r="15" spans="2:21" x14ac:dyDescent="0.3">
      <c r="B15" s="283">
        <v>1.1100000000000001</v>
      </c>
      <c r="C15" t="s">
        <v>97</v>
      </c>
      <c r="E15" s="59">
        <v>2.1</v>
      </c>
      <c r="F15" s="59" t="str">
        <f>TEXT(AuswDipl1[[#This Row],[BS_1]],"#.0")</f>
        <v>2.1</v>
      </c>
      <c r="G15" t="str">
        <f ca="1">INDEX(INDIRECT($G$1),MATCH(AuswDipl1[[#This Row],[BS_1]],INDIRECT($E$1),0))</f>
        <v>Absolviert</v>
      </c>
      <c r="I15" s="59">
        <v>2.1</v>
      </c>
      <c r="J15" s="59" t="str">
        <f>TEXT(AuswDipl2[[#This Row],[BS_2]],"#.0")</f>
        <v>2.1</v>
      </c>
      <c r="K15" t="str">
        <f ca="1">INDEX(INDIRECT($G$1),MATCH(AuswDipl2[[#This Row],[BS_2]],INDIRECT($E$1),0))</f>
        <v>Absolviert</v>
      </c>
      <c r="M15" s="121">
        <v>3.75</v>
      </c>
      <c r="N15" t="s">
        <v>283</v>
      </c>
      <c r="P15" s="59">
        <v>2.1</v>
      </c>
      <c r="Q15" s="59" t="str">
        <f>TEXT(AuswDipl4[[#This Row],[BS_4]],"#.0")</f>
        <v>2.1</v>
      </c>
      <c r="R15" t="str">
        <f ca="1">INDEX(INDIRECT($G$1),MATCH(AuswDipl4[[#This Row],[BS_4]],INDIRECT($E$1),0))</f>
        <v>Absolviert</v>
      </c>
    </row>
    <row r="16" spans="2:21" x14ac:dyDescent="0.3">
      <c r="B16" s="282">
        <v>1.1200000000000001</v>
      </c>
      <c r="C16" t="s">
        <v>97</v>
      </c>
      <c r="E16" s="59">
        <v>2.2000000000000002</v>
      </c>
      <c r="F16" s="59" t="str">
        <f>TEXT(AuswDipl1[[#This Row],[BS_1]],"#.0")</f>
        <v>2.2</v>
      </c>
      <c r="G16" t="str">
        <f ca="1">INDEX(INDIRECT($G$1),MATCH(AuswDipl1[[#This Row],[BS_1]],INDIRECT($E$1),0))</f>
        <v>Absolviert</v>
      </c>
      <c r="I16" s="59">
        <v>2.2000000000000002</v>
      </c>
      <c r="J16" s="59" t="str">
        <f>TEXT(AuswDipl2[[#This Row],[BS_2]],"#.0")</f>
        <v>2.2</v>
      </c>
      <c r="K16" t="str">
        <f ca="1">INDEX(INDIRECT($G$1),MATCH(AuswDipl2[[#This Row],[BS_2]],INDIRECT($E$1),0))</f>
        <v>Absolviert</v>
      </c>
      <c r="M16" s="121">
        <v>4</v>
      </c>
      <c r="N16" t="s">
        <v>283</v>
      </c>
      <c r="P16" s="59">
        <v>2.2000000000000002</v>
      </c>
      <c r="Q16" s="59" t="str">
        <f>TEXT(AuswDipl4[[#This Row],[BS_4]],"#.0")</f>
        <v>2.2</v>
      </c>
      <c r="R16" t="str">
        <f ca="1">INDEX(INDIRECT($G$1),MATCH(AuswDipl4[[#This Row],[BS_4]],INDIRECT($E$1),0))</f>
        <v>Absolviert</v>
      </c>
    </row>
    <row r="17" spans="2:18" x14ac:dyDescent="0.3">
      <c r="B17" s="283">
        <v>1.1299999999999999</v>
      </c>
      <c r="C17" t="s">
        <v>97</v>
      </c>
      <c r="E17" s="59">
        <v>2.2999999999999998</v>
      </c>
      <c r="F17" s="59" t="str">
        <f>TEXT(AuswDipl1[[#This Row],[BS_1]],"#.0")</f>
        <v>2.3</v>
      </c>
      <c r="G17" t="str">
        <f ca="1">INDEX(INDIRECT($G$1),MATCH(AuswDipl1[[#This Row],[BS_1]],INDIRECT($E$1),0))</f>
        <v>Absolviert</v>
      </c>
      <c r="I17" s="59">
        <v>2.2999999999999998</v>
      </c>
      <c r="J17" s="59" t="str">
        <f>TEXT(AuswDipl2[[#This Row],[BS_2]],"#.0")</f>
        <v>2.3</v>
      </c>
      <c r="K17" t="str">
        <f ca="1">INDEX(INDIRECT($G$1),MATCH(AuswDipl2[[#This Row],[BS_2]],INDIRECT($E$1),0))</f>
        <v>Absolviert</v>
      </c>
      <c r="M17" s="121">
        <v>4.25</v>
      </c>
      <c r="N17" t="s">
        <v>283</v>
      </c>
      <c r="P17" s="59">
        <v>2.2999999999999998</v>
      </c>
      <c r="Q17" s="59" t="str">
        <f>TEXT(AuswDipl4[[#This Row],[BS_4]],"#.0")</f>
        <v>2.3</v>
      </c>
      <c r="R17" t="str">
        <f ca="1">INDEX(INDIRECT($G$1),MATCH(AuswDipl4[[#This Row],[BS_4]],INDIRECT($E$1),0))</f>
        <v>Absolviert</v>
      </c>
    </row>
    <row r="18" spans="2:18" x14ac:dyDescent="0.3">
      <c r="B18" s="282">
        <v>1.1399999999999999</v>
      </c>
      <c r="C18" t="s">
        <v>97</v>
      </c>
      <c r="E18" s="59">
        <v>2.4</v>
      </c>
      <c r="F18" s="59" t="str">
        <f>TEXT(AuswDipl1[[#This Row],[BS_1]],"#.0")</f>
        <v>2.4</v>
      </c>
      <c r="G18" t="str">
        <f ca="1">INDEX(INDIRECT($G$1),MATCH(AuswDipl1[[#This Row],[BS_1]],INDIRECT($E$1),0))</f>
        <v>Absolviert</v>
      </c>
      <c r="I18" s="59">
        <v>2.4</v>
      </c>
      <c r="J18" s="59" t="str">
        <f>TEXT(AuswDipl2[[#This Row],[BS_2]],"#.0")</f>
        <v>2.4</v>
      </c>
      <c r="K18" t="str">
        <f ca="1">INDEX(INDIRECT($G$1),MATCH(AuswDipl2[[#This Row],[BS_2]],INDIRECT($E$1),0))</f>
        <v>Absolviert</v>
      </c>
      <c r="M18" s="121">
        <v>4.5</v>
      </c>
      <c r="N18" t="s">
        <v>283</v>
      </c>
      <c r="P18" s="59">
        <v>2.4</v>
      </c>
      <c r="Q18" s="59" t="str">
        <f>TEXT(AuswDipl4[[#This Row],[BS_4]],"#.0")</f>
        <v>2.4</v>
      </c>
      <c r="R18" t="str">
        <f ca="1">INDEX(INDIRECT($G$1),MATCH(AuswDipl4[[#This Row],[BS_4]],INDIRECT($E$1),0))</f>
        <v>Absolviert</v>
      </c>
    </row>
    <row r="19" spans="2:18" x14ac:dyDescent="0.3">
      <c r="B19" s="283">
        <v>1.1499999999999999</v>
      </c>
      <c r="C19" t="s">
        <v>97</v>
      </c>
      <c r="E19" s="59">
        <v>2.5</v>
      </c>
      <c r="F19" s="59" t="str">
        <f>TEXT(AuswDipl1[[#This Row],[BS_1]],"#.0")</f>
        <v>2.5</v>
      </c>
      <c r="G19" t="str">
        <f ca="1">INDEX(INDIRECT($G$1),MATCH(AuswDipl1[[#This Row],[BS_1]],INDIRECT($E$1),0))</f>
        <v>Absolviert</v>
      </c>
      <c r="I19" s="59">
        <v>2.5</v>
      </c>
      <c r="J19" s="59" t="str">
        <f>TEXT(AuswDipl2[[#This Row],[BS_2]],"#.0")</f>
        <v>2.5</v>
      </c>
      <c r="K19" t="str">
        <f ca="1">INDEX(INDIRECT($G$1),MATCH(AuswDipl2[[#This Row],[BS_2]],INDIRECT($E$1),0))</f>
        <v>Absolviert</v>
      </c>
      <c r="M19" s="121">
        <v>4.75</v>
      </c>
      <c r="N19" t="s">
        <v>282</v>
      </c>
      <c r="P19" s="59">
        <v>2.5</v>
      </c>
      <c r="Q19" s="59" t="str">
        <f>TEXT(AuswDipl4[[#This Row],[BS_4]],"#.0")</f>
        <v>2.5</v>
      </c>
      <c r="R19" t="str">
        <f ca="1">INDEX(INDIRECT($G$1),MATCH(AuswDipl4[[#This Row],[BS_4]],INDIRECT($E$1),0))</f>
        <v>Absolviert</v>
      </c>
    </row>
    <row r="20" spans="2:18" x14ac:dyDescent="0.3">
      <c r="B20" s="282">
        <v>1.1599999999999999</v>
      </c>
      <c r="C20" t="s">
        <v>97</v>
      </c>
      <c r="E20" s="59">
        <v>2.6</v>
      </c>
      <c r="F20" s="59" t="str">
        <f>TEXT(AuswDipl1[[#This Row],[BS_1]],"#.0")</f>
        <v>2.6</v>
      </c>
      <c r="G20" t="str">
        <f ca="1">INDEX(INDIRECT($G$1),MATCH(AuswDipl1[[#This Row],[BS_1]],INDIRECT($E$1),0))</f>
        <v>Absolviert</v>
      </c>
      <c r="I20" s="59">
        <v>2.6</v>
      </c>
      <c r="J20" s="59" t="str">
        <f>TEXT(AuswDipl2[[#This Row],[BS_2]],"#.0")</f>
        <v>2.6</v>
      </c>
      <c r="K20" t="str">
        <f ca="1">INDEX(INDIRECT($G$1),MATCH(AuswDipl2[[#This Row],[BS_2]],INDIRECT($E$1),0))</f>
        <v>Absolviert</v>
      </c>
      <c r="M20" s="121">
        <v>5</v>
      </c>
      <c r="N20" t="s">
        <v>282</v>
      </c>
      <c r="P20" s="59">
        <v>2.6</v>
      </c>
      <c r="Q20" s="59" t="str">
        <f>TEXT(AuswDipl4[[#This Row],[BS_4]],"#.0")</f>
        <v>2.6</v>
      </c>
      <c r="R20" t="str">
        <f ca="1">INDEX(INDIRECT($G$1),MATCH(AuswDipl4[[#This Row],[BS_4]],INDIRECT($E$1),0))</f>
        <v>Absolviert</v>
      </c>
    </row>
    <row r="21" spans="2:18" x14ac:dyDescent="0.3">
      <c r="B21" s="283">
        <v>1.17</v>
      </c>
      <c r="C21" t="s">
        <v>97</v>
      </c>
      <c r="E21" s="59">
        <v>2.7</v>
      </c>
      <c r="F21" s="59" t="str">
        <f>TEXT(AuswDipl1[[#This Row],[BS_1]],"#.0")</f>
        <v>2.7</v>
      </c>
      <c r="G21" t="str">
        <f ca="1">INDEX(INDIRECT($G$1),MATCH(AuswDipl1[[#This Row],[BS_1]],INDIRECT($E$1),0))</f>
        <v>Absolviert</v>
      </c>
      <c r="I21" s="59">
        <v>2.7</v>
      </c>
      <c r="J21" s="59" t="str">
        <f>TEXT(AuswDipl2[[#This Row],[BS_2]],"#.0")</f>
        <v>2.7</v>
      </c>
      <c r="K21" t="str">
        <f ca="1">INDEX(INDIRECT($G$1),MATCH(AuswDipl2[[#This Row],[BS_2]],INDIRECT($E$1),0))</f>
        <v>Absolviert</v>
      </c>
      <c r="M21" s="121">
        <v>5.25</v>
      </c>
      <c r="N21" t="s">
        <v>282</v>
      </c>
      <c r="P21" s="59">
        <v>2.7</v>
      </c>
      <c r="Q21" s="59" t="str">
        <f>TEXT(AuswDipl4[[#This Row],[BS_4]],"#.0")</f>
        <v>2.7</v>
      </c>
      <c r="R21" t="str">
        <f ca="1">INDEX(INDIRECT($G$1),MATCH(AuswDipl4[[#This Row],[BS_4]],INDIRECT($E$1),0))</f>
        <v>Absolviert</v>
      </c>
    </row>
    <row r="22" spans="2:18" x14ac:dyDescent="0.3">
      <c r="B22" s="282">
        <v>1.18</v>
      </c>
      <c r="C22" t="s">
        <v>97</v>
      </c>
      <c r="E22" s="59">
        <v>2.8</v>
      </c>
      <c r="F22" s="59" t="str">
        <f>TEXT(AuswDipl1[[#This Row],[BS_1]],"#.0")</f>
        <v>2.8</v>
      </c>
      <c r="G22" t="str">
        <f ca="1">INDEX(INDIRECT($G$1),MATCH(AuswDipl1[[#This Row],[BS_1]],INDIRECT($E$1),0))</f>
        <v>Absolviert</v>
      </c>
      <c r="I22" s="59">
        <v>2.8</v>
      </c>
      <c r="J22" s="59" t="str">
        <f>TEXT(AuswDipl2[[#This Row],[BS_2]],"#.0")</f>
        <v>2.8</v>
      </c>
      <c r="K22" t="str">
        <f ca="1">INDEX(INDIRECT($G$1),MATCH(AuswDipl2[[#This Row],[BS_2]],INDIRECT($E$1),0))</f>
        <v>Absolviert</v>
      </c>
      <c r="M22" s="121">
        <v>5.5</v>
      </c>
      <c r="N22" t="s">
        <v>282</v>
      </c>
      <c r="P22" s="59">
        <v>2.8</v>
      </c>
      <c r="Q22" s="59" t="str">
        <f>TEXT(AuswDipl4[[#This Row],[BS_4]],"#.0")</f>
        <v>2.8</v>
      </c>
      <c r="R22" t="str">
        <f ca="1">INDEX(INDIRECT($G$1),MATCH(AuswDipl4[[#This Row],[BS_4]],INDIRECT($E$1),0))</f>
        <v>Absolviert</v>
      </c>
    </row>
    <row r="23" spans="2:18" x14ac:dyDescent="0.3">
      <c r="B23" s="283">
        <v>1.19</v>
      </c>
      <c r="C23" t="s">
        <v>97</v>
      </c>
      <c r="E23" s="59">
        <v>2.9</v>
      </c>
      <c r="F23" s="59" t="str">
        <f>TEXT(AuswDipl1[[#This Row],[BS_1]],"#.0")</f>
        <v>2.9</v>
      </c>
      <c r="G23" t="str">
        <f ca="1">INDEX(INDIRECT($G$1),MATCH(AuswDipl1[[#This Row],[BS_1]],INDIRECT($E$1),0))</f>
        <v>Absolviert</v>
      </c>
      <c r="I23" s="59">
        <v>2.9</v>
      </c>
      <c r="J23" s="59" t="str">
        <f>TEXT(AuswDipl2[[#This Row],[BS_2]],"#.0")</f>
        <v>2.9</v>
      </c>
      <c r="K23" t="str">
        <f ca="1">INDEX(INDIRECT($G$1),MATCH(AuswDipl2[[#This Row],[BS_2]],INDIRECT($E$1),0))</f>
        <v>Absolviert</v>
      </c>
      <c r="M23" s="121">
        <v>5.75</v>
      </c>
      <c r="N23" t="s">
        <v>281</v>
      </c>
      <c r="P23" s="59">
        <v>2.9</v>
      </c>
      <c r="Q23" s="59" t="str">
        <f>TEXT(AuswDipl4[[#This Row],[BS_4]],"#.0")</f>
        <v>2.9</v>
      </c>
      <c r="R23" t="str">
        <f ca="1">INDEX(INDIRECT($G$1),MATCH(AuswDipl4[[#This Row],[BS_4]],INDIRECT($E$1),0))</f>
        <v>Absolviert</v>
      </c>
    </row>
    <row r="24" spans="2:18" x14ac:dyDescent="0.3">
      <c r="B24" s="282">
        <v>1.2</v>
      </c>
      <c r="C24" t="s">
        <v>97</v>
      </c>
      <c r="E24" s="59">
        <v>3</v>
      </c>
      <c r="F24" s="59" t="str">
        <f>TEXT(AuswDipl1[[#This Row],[BS_1]],"#.0")</f>
        <v>3.0</v>
      </c>
      <c r="G24" t="str">
        <f ca="1">INDEX(INDIRECT($G$1),MATCH(AuswDipl1[[#This Row],[BS_1]],INDIRECT($E$1),0))</f>
        <v>Absolviert</v>
      </c>
      <c r="I24" s="59">
        <v>3</v>
      </c>
      <c r="J24" s="59" t="str">
        <f>TEXT(AuswDipl2[[#This Row],[BS_2]],"#.0")</f>
        <v>3.0</v>
      </c>
      <c r="K24" t="str">
        <f ca="1">INDEX(INDIRECT($G$1),MATCH(AuswDipl2[[#This Row],[BS_2]],INDIRECT($E$1),0))</f>
        <v>Absolviert</v>
      </c>
      <c r="M24" s="121">
        <v>6</v>
      </c>
      <c r="N24" t="s">
        <v>281</v>
      </c>
      <c r="P24" s="59">
        <v>3</v>
      </c>
      <c r="Q24" s="59" t="str">
        <f>TEXT(AuswDipl4[[#This Row],[BS_4]],"#.0")</f>
        <v>3.0</v>
      </c>
      <c r="R24" t="str">
        <f ca="1">INDEX(INDIRECT($G$1),MATCH(AuswDipl4[[#This Row],[BS_4]],INDIRECT($E$1),0))</f>
        <v>Absolviert</v>
      </c>
    </row>
    <row r="25" spans="2:18" x14ac:dyDescent="0.3">
      <c r="B25" s="283">
        <v>1.21</v>
      </c>
      <c r="C25" t="s">
        <v>97</v>
      </c>
      <c r="E25" s="59">
        <v>3.1</v>
      </c>
      <c r="F25" s="59" t="str">
        <f>TEXT(AuswDipl1[[#This Row],[BS_1]],"#.0")</f>
        <v>3.1</v>
      </c>
      <c r="G25" t="str">
        <f ca="1">INDEX(INDIRECT($G$1),MATCH(AuswDipl1[[#This Row],[BS_1]],INDIRECT($E$1),0))</f>
        <v>Absolviert</v>
      </c>
      <c r="I25" s="59">
        <v>3.1</v>
      </c>
      <c r="J25" s="59" t="str">
        <f>TEXT(AuswDipl2[[#This Row],[BS_2]],"#.0")</f>
        <v>3.1</v>
      </c>
      <c r="K25" t="str">
        <f ca="1">INDEX(INDIRECT($G$1),MATCH(AuswDipl2[[#This Row],[BS_2]],INDIRECT($E$1),0))</f>
        <v>Absolviert</v>
      </c>
      <c r="M25" s="59"/>
      <c r="P25" s="59">
        <v>3.1</v>
      </c>
      <c r="Q25" s="59" t="str">
        <f>TEXT(AuswDipl4[[#This Row],[BS_4]],"#.0")</f>
        <v>3.1</v>
      </c>
      <c r="R25" t="str">
        <f ca="1">INDEX(INDIRECT($G$1),MATCH(AuswDipl4[[#This Row],[BS_4]],INDIRECT($E$1),0))</f>
        <v>Absolviert</v>
      </c>
    </row>
    <row r="26" spans="2:18" x14ac:dyDescent="0.3">
      <c r="B26" s="282">
        <v>1.22</v>
      </c>
      <c r="C26" t="s">
        <v>97</v>
      </c>
      <c r="E26" s="59">
        <v>3.2</v>
      </c>
      <c r="F26" s="59" t="str">
        <f>TEXT(AuswDipl1[[#This Row],[BS_1]],"#.0")</f>
        <v>3.2</v>
      </c>
      <c r="G26" t="str">
        <f ca="1">INDEX(INDIRECT($G$1),MATCH(AuswDipl1[[#This Row],[BS_1]],INDIRECT($E$1),0))</f>
        <v>Absolviert</v>
      </c>
      <c r="I26" s="59">
        <v>3.2</v>
      </c>
      <c r="J26" s="59" t="str">
        <f>TEXT(AuswDipl2[[#This Row],[BS_2]],"#.0")</f>
        <v>3.2</v>
      </c>
      <c r="K26" t="str">
        <f ca="1">INDEX(INDIRECT($G$1),MATCH(AuswDipl2[[#This Row],[BS_2]],INDIRECT($E$1),0))</f>
        <v>Absolviert</v>
      </c>
      <c r="M26" s="59"/>
      <c r="P26" s="59">
        <v>3.2</v>
      </c>
      <c r="Q26" s="59" t="str">
        <f>TEXT(AuswDipl4[[#This Row],[BS_4]],"#.0")</f>
        <v>3.2</v>
      </c>
      <c r="R26" t="str">
        <f ca="1">INDEX(INDIRECT($G$1),MATCH(AuswDipl4[[#This Row],[BS_4]],INDIRECT($E$1),0))</f>
        <v>Absolviert</v>
      </c>
    </row>
    <row r="27" spans="2:18" x14ac:dyDescent="0.3">
      <c r="B27" s="283">
        <v>1.23</v>
      </c>
      <c r="C27" t="s">
        <v>97</v>
      </c>
      <c r="E27" s="59">
        <v>3.3</v>
      </c>
      <c r="F27" s="59" t="str">
        <f>TEXT(AuswDipl1[[#This Row],[BS_1]],"#.0")</f>
        <v>3.3</v>
      </c>
      <c r="G27" t="str">
        <f ca="1">INDEX(INDIRECT($G$1),MATCH(AuswDipl1[[#This Row],[BS_1]],INDIRECT($E$1),0))</f>
        <v>Absolviert</v>
      </c>
      <c r="I27" s="59">
        <v>3.3</v>
      </c>
      <c r="J27" s="59" t="str">
        <f>TEXT(AuswDipl2[[#This Row],[BS_2]],"#.0")</f>
        <v>3.3</v>
      </c>
      <c r="K27" t="str">
        <f ca="1">INDEX(INDIRECT($G$1),MATCH(AuswDipl2[[#This Row],[BS_2]],INDIRECT($E$1),0))</f>
        <v>Absolviert</v>
      </c>
      <c r="M27" s="59"/>
      <c r="P27" s="59">
        <v>3.3</v>
      </c>
      <c r="Q27" s="59" t="str">
        <f>TEXT(AuswDipl4[[#This Row],[BS_4]],"#.0")</f>
        <v>3.3</v>
      </c>
      <c r="R27" t="str">
        <f ca="1">INDEX(INDIRECT($G$1),MATCH(AuswDipl4[[#This Row],[BS_4]],INDIRECT($E$1),0))</f>
        <v>Absolviert</v>
      </c>
    </row>
    <row r="28" spans="2:18" x14ac:dyDescent="0.3">
      <c r="B28" s="282">
        <v>1.24</v>
      </c>
      <c r="C28" t="s">
        <v>97</v>
      </c>
      <c r="E28" s="59">
        <v>3.4</v>
      </c>
      <c r="F28" s="59" t="str">
        <f>TEXT(AuswDipl1[[#This Row],[BS_1]],"#.0")</f>
        <v>3.4</v>
      </c>
      <c r="G28" t="str">
        <f ca="1">INDEX(INDIRECT($G$1),MATCH(AuswDipl1[[#This Row],[BS_1]],INDIRECT($E$1),0))</f>
        <v>Absolviert</v>
      </c>
      <c r="I28" s="59">
        <v>3.4</v>
      </c>
      <c r="J28" s="59" t="str">
        <f>TEXT(AuswDipl2[[#This Row],[BS_2]],"#.0")</f>
        <v>3.4</v>
      </c>
      <c r="K28" t="str">
        <f ca="1">INDEX(INDIRECT($G$1),MATCH(AuswDipl2[[#This Row],[BS_2]],INDIRECT($E$1),0))</f>
        <v>Absolviert</v>
      </c>
      <c r="M28" s="59"/>
      <c r="P28" s="59">
        <v>3.4</v>
      </c>
      <c r="Q28" s="59" t="str">
        <f>TEXT(AuswDipl4[[#This Row],[BS_4]],"#.0")</f>
        <v>3.4</v>
      </c>
      <c r="R28" t="str">
        <f ca="1">INDEX(INDIRECT($G$1),MATCH(AuswDipl4[[#This Row],[BS_4]],INDIRECT($E$1),0))</f>
        <v>Absolviert</v>
      </c>
    </row>
    <row r="29" spans="2:18" x14ac:dyDescent="0.3">
      <c r="B29" s="283">
        <v>1.25</v>
      </c>
      <c r="C29" t="s">
        <v>97</v>
      </c>
      <c r="E29" s="59">
        <v>3.5</v>
      </c>
      <c r="F29" s="59" t="str">
        <f>TEXT(AuswDipl1[[#This Row],[BS_1]],"#.0")</f>
        <v>3.5</v>
      </c>
      <c r="G29" t="str">
        <f ca="1">INDEX(INDIRECT($G$1),MATCH(AuswDipl1[[#This Row],[BS_1]],INDIRECT($E$1),0))</f>
        <v>Absolviert</v>
      </c>
      <c r="I29" s="59">
        <v>3.5</v>
      </c>
      <c r="J29" s="59" t="str">
        <f>TEXT(AuswDipl2[[#This Row],[BS_2]],"#.0")</f>
        <v>3.5</v>
      </c>
      <c r="K29" t="str">
        <f ca="1">INDEX(INDIRECT($G$1),MATCH(AuswDipl2[[#This Row],[BS_2]],INDIRECT($E$1),0))</f>
        <v>Absolviert</v>
      </c>
      <c r="M29" s="59"/>
      <c r="P29" s="59">
        <v>3.5</v>
      </c>
      <c r="Q29" s="59" t="str">
        <f>TEXT(AuswDipl4[[#This Row],[BS_4]],"#.0")</f>
        <v>3.5</v>
      </c>
      <c r="R29" t="str">
        <f ca="1">INDEX(INDIRECT($G$1),MATCH(AuswDipl4[[#This Row],[BS_4]],INDIRECT($E$1),0))</f>
        <v>Absolviert</v>
      </c>
    </row>
    <row r="30" spans="2:18" x14ac:dyDescent="0.3">
      <c r="B30" s="282">
        <v>1.26</v>
      </c>
      <c r="C30" t="s">
        <v>97</v>
      </c>
      <c r="E30" s="59">
        <v>3.6</v>
      </c>
      <c r="F30" s="59" t="str">
        <f>TEXT(AuswDipl1[[#This Row],[BS_1]],"#.0")</f>
        <v>3.6</v>
      </c>
      <c r="G30" t="str">
        <f ca="1">INDEX(INDIRECT($G$1),MATCH(AuswDipl1[[#This Row],[BS_1]],INDIRECT($E$1),0))</f>
        <v>Absolviert</v>
      </c>
      <c r="I30" s="59">
        <v>3.6</v>
      </c>
      <c r="J30" s="59" t="str">
        <f>TEXT(AuswDipl2[[#This Row],[BS_2]],"#.0")</f>
        <v>3.6</v>
      </c>
      <c r="K30" t="str">
        <f ca="1">INDEX(INDIRECT($G$1),MATCH(AuswDipl2[[#This Row],[BS_2]],INDIRECT($E$1),0))</f>
        <v>Absolviert</v>
      </c>
      <c r="M30" s="59"/>
      <c r="P30" s="59">
        <v>3.6</v>
      </c>
      <c r="Q30" s="59" t="str">
        <f>TEXT(AuswDipl4[[#This Row],[BS_4]],"#.0")</f>
        <v>3.6</v>
      </c>
      <c r="R30" t="str">
        <f ca="1">INDEX(INDIRECT($G$1),MATCH(AuswDipl4[[#This Row],[BS_4]],INDIRECT($E$1),0))</f>
        <v>Absolviert</v>
      </c>
    </row>
    <row r="31" spans="2:18" x14ac:dyDescent="0.3">
      <c r="B31" s="283">
        <v>1.27</v>
      </c>
      <c r="C31" t="s">
        <v>97</v>
      </c>
      <c r="E31" s="59">
        <v>3.7</v>
      </c>
      <c r="F31" s="59" t="str">
        <f>TEXT(AuswDipl1[[#This Row],[BS_1]],"#.0")</f>
        <v>3.7</v>
      </c>
      <c r="G31" t="str">
        <f ca="1">INDEX(INDIRECT($G$1),MATCH(AuswDipl1[[#This Row],[BS_1]],INDIRECT($E$1),0))</f>
        <v>Absolviert</v>
      </c>
      <c r="I31" s="59">
        <v>3.7</v>
      </c>
      <c r="J31" s="59" t="str">
        <f>TEXT(AuswDipl2[[#This Row],[BS_2]],"#.0")</f>
        <v>3.7</v>
      </c>
      <c r="K31" t="str">
        <f ca="1">INDEX(INDIRECT($G$1),MATCH(AuswDipl2[[#This Row],[BS_2]],INDIRECT($E$1),0))</f>
        <v>Absolviert</v>
      </c>
      <c r="P31" s="59">
        <v>3.7</v>
      </c>
      <c r="Q31" s="59" t="str">
        <f>TEXT(AuswDipl4[[#This Row],[BS_4]],"#.0")</f>
        <v>3.7</v>
      </c>
      <c r="R31" t="str">
        <f ca="1">INDEX(INDIRECT($G$1),MATCH(AuswDipl4[[#This Row],[BS_4]],INDIRECT($E$1),0))</f>
        <v>Absolviert</v>
      </c>
    </row>
    <row r="32" spans="2:18" x14ac:dyDescent="0.3">
      <c r="B32" s="282">
        <v>1.28</v>
      </c>
      <c r="C32" t="s">
        <v>97</v>
      </c>
      <c r="E32" s="59">
        <v>3.8</v>
      </c>
      <c r="F32" s="59" t="str">
        <f>TEXT(AuswDipl1[[#This Row],[BS_1]],"#.0")</f>
        <v>3.8</v>
      </c>
      <c r="G32" t="str">
        <f ca="1">INDEX(INDIRECT($G$1),MATCH(AuswDipl1[[#This Row],[BS_1]],INDIRECT($E$1),0))</f>
        <v>Bronze</v>
      </c>
      <c r="I32" s="59">
        <v>3.8</v>
      </c>
      <c r="J32" s="59" t="str">
        <f>TEXT(AuswDipl2[[#This Row],[BS_2]],"#.0")</f>
        <v>3.8</v>
      </c>
      <c r="K32" t="str">
        <f ca="1">INDEX(INDIRECT($G$1),MATCH(AuswDipl2[[#This Row],[BS_2]],INDIRECT($E$1),0))</f>
        <v>Bronze</v>
      </c>
      <c r="P32" s="59">
        <v>3.8</v>
      </c>
      <c r="Q32" s="59" t="str">
        <f>TEXT(AuswDipl4[[#This Row],[BS_4]],"#.0")</f>
        <v>3.8</v>
      </c>
      <c r="R32" t="str">
        <f ca="1">INDEX(INDIRECT($G$1),MATCH(AuswDipl4[[#This Row],[BS_4]],INDIRECT($E$1),0))</f>
        <v>Bronze</v>
      </c>
    </row>
    <row r="33" spans="2:18" x14ac:dyDescent="0.3">
      <c r="B33" s="283">
        <v>1.29</v>
      </c>
      <c r="C33" t="s">
        <v>97</v>
      </c>
      <c r="E33" s="59">
        <v>3.9</v>
      </c>
      <c r="F33" s="59" t="str">
        <f>TEXT(AuswDipl1[[#This Row],[BS_1]],"#.0")</f>
        <v>3.9</v>
      </c>
      <c r="G33" t="str">
        <f ca="1">INDEX(INDIRECT($G$1),MATCH(AuswDipl1[[#This Row],[BS_1]],INDIRECT($E$1),0))</f>
        <v>Bronze</v>
      </c>
      <c r="I33" s="59">
        <v>3.9</v>
      </c>
      <c r="J33" s="59" t="str">
        <f>TEXT(AuswDipl2[[#This Row],[BS_2]],"#.0")</f>
        <v>3.9</v>
      </c>
      <c r="K33" t="str">
        <f ca="1">INDEX(INDIRECT($G$1),MATCH(AuswDipl2[[#This Row],[BS_2]],INDIRECT($E$1),0))</f>
        <v>Bronze</v>
      </c>
      <c r="P33" s="59">
        <v>3.9</v>
      </c>
      <c r="Q33" s="59" t="str">
        <f>TEXT(AuswDipl4[[#This Row],[BS_4]],"#.0")</f>
        <v>3.9</v>
      </c>
      <c r="R33" t="str">
        <f ca="1">INDEX(INDIRECT($G$1),MATCH(AuswDipl4[[#This Row],[BS_4]],INDIRECT($E$1),0))</f>
        <v>Bronze</v>
      </c>
    </row>
    <row r="34" spans="2:18" x14ac:dyDescent="0.3">
      <c r="B34" s="282">
        <v>1.3</v>
      </c>
      <c r="C34" t="s">
        <v>97</v>
      </c>
      <c r="E34" s="59">
        <v>4</v>
      </c>
      <c r="F34" s="59" t="str">
        <f>TEXT(AuswDipl1[[#This Row],[BS_1]],"#.0")</f>
        <v>4.0</v>
      </c>
      <c r="G34" t="str">
        <f ca="1">INDEX(INDIRECT($G$1),MATCH(AuswDipl1[[#This Row],[BS_1]],INDIRECT($E$1),0))</f>
        <v>Bronze</v>
      </c>
      <c r="I34" s="59">
        <v>4</v>
      </c>
      <c r="J34" s="59" t="str">
        <f>TEXT(AuswDipl2[[#This Row],[BS_2]],"#.0")</f>
        <v>4.0</v>
      </c>
      <c r="K34" t="str">
        <f ca="1">INDEX(INDIRECT($G$1),MATCH(AuswDipl2[[#This Row],[BS_2]],INDIRECT($E$1),0))</f>
        <v>Bronze</v>
      </c>
      <c r="P34" s="59">
        <v>4</v>
      </c>
      <c r="Q34" s="59" t="str">
        <f>TEXT(AuswDipl4[[#This Row],[BS_4]],"#.0")</f>
        <v>4.0</v>
      </c>
      <c r="R34" t="str">
        <f ca="1">INDEX(INDIRECT($G$1),MATCH(AuswDipl4[[#This Row],[BS_4]],INDIRECT($E$1),0))</f>
        <v>Bronze</v>
      </c>
    </row>
    <row r="35" spans="2:18" x14ac:dyDescent="0.3">
      <c r="B35" s="283">
        <v>1.31</v>
      </c>
      <c r="C35" t="s">
        <v>97</v>
      </c>
      <c r="E35" s="59">
        <v>4.0999999999999996</v>
      </c>
      <c r="F35" s="59" t="str">
        <f>TEXT(AuswDipl1[[#This Row],[BS_1]],"#.0")</f>
        <v>4.1</v>
      </c>
      <c r="G35" t="str">
        <f ca="1">INDEX(INDIRECT($G$1),MATCH(AuswDipl1[[#This Row],[BS_1]],INDIRECT($E$1),0))</f>
        <v>Bronze</v>
      </c>
      <c r="I35" s="59">
        <v>4.0999999999999996</v>
      </c>
      <c r="J35" s="59" t="str">
        <f>TEXT(AuswDipl2[[#This Row],[BS_2]],"#.0")</f>
        <v>4.1</v>
      </c>
      <c r="K35" t="str">
        <f ca="1">INDEX(INDIRECT($G$1),MATCH(AuswDipl2[[#This Row],[BS_2]],INDIRECT($E$1),0))</f>
        <v>Bronze</v>
      </c>
      <c r="P35" s="59">
        <v>4.0999999999999996</v>
      </c>
      <c r="Q35" s="59" t="str">
        <f>TEXT(AuswDipl4[[#This Row],[BS_4]],"#.0")</f>
        <v>4.1</v>
      </c>
      <c r="R35" t="str">
        <f ca="1">INDEX(INDIRECT($G$1),MATCH(AuswDipl4[[#This Row],[BS_4]],INDIRECT($E$1),0))</f>
        <v>Bronze</v>
      </c>
    </row>
    <row r="36" spans="2:18" x14ac:dyDescent="0.3">
      <c r="B36" s="282">
        <v>1.32</v>
      </c>
      <c r="C36" t="s">
        <v>97</v>
      </c>
      <c r="E36" s="59">
        <v>4.2</v>
      </c>
      <c r="F36" s="59" t="str">
        <f>TEXT(AuswDipl1[[#This Row],[BS_1]],"#.0")</f>
        <v>4.2</v>
      </c>
      <c r="G36" t="str">
        <f ca="1">INDEX(INDIRECT($G$1),MATCH(AuswDipl1[[#This Row],[BS_1]],INDIRECT($E$1),0))</f>
        <v>Bronze</v>
      </c>
      <c r="I36" s="59">
        <v>4.2</v>
      </c>
      <c r="J36" s="59" t="str">
        <f>TEXT(AuswDipl2[[#This Row],[BS_2]],"#.0")</f>
        <v>4.2</v>
      </c>
      <c r="K36" t="str">
        <f ca="1">INDEX(INDIRECT($G$1),MATCH(AuswDipl2[[#This Row],[BS_2]],INDIRECT($E$1),0))</f>
        <v>Bronze</v>
      </c>
      <c r="P36" s="59">
        <v>4.2</v>
      </c>
      <c r="Q36" s="59" t="str">
        <f>TEXT(AuswDipl4[[#This Row],[BS_4]],"#.0")</f>
        <v>4.2</v>
      </c>
      <c r="R36" t="str">
        <f ca="1">INDEX(INDIRECT($G$1),MATCH(AuswDipl4[[#This Row],[BS_4]],INDIRECT($E$1),0))</f>
        <v>Bronze</v>
      </c>
    </row>
    <row r="37" spans="2:18" x14ac:dyDescent="0.3">
      <c r="B37" s="283">
        <v>1.33</v>
      </c>
      <c r="C37" t="s">
        <v>97</v>
      </c>
      <c r="E37" s="59">
        <v>4.3</v>
      </c>
      <c r="F37" s="59" t="str">
        <f>TEXT(AuswDipl1[[#This Row],[BS_1]],"#.0")</f>
        <v>4.3</v>
      </c>
      <c r="G37" t="str">
        <f ca="1">INDEX(INDIRECT($G$1),MATCH(AuswDipl1[[#This Row],[BS_1]],INDIRECT($E$1),0))</f>
        <v>Bronze</v>
      </c>
      <c r="I37" s="59">
        <v>4.3</v>
      </c>
      <c r="J37" s="59" t="str">
        <f>TEXT(AuswDipl2[[#This Row],[BS_2]],"#.0")</f>
        <v>4.3</v>
      </c>
      <c r="K37" t="str">
        <f ca="1">INDEX(INDIRECT($G$1),MATCH(AuswDipl2[[#This Row],[BS_2]],INDIRECT($E$1),0))</f>
        <v>Bronze</v>
      </c>
      <c r="P37" s="59">
        <v>4.3</v>
      </c>
      <c r="Q37" s="59" t="str">
        <f>TEXT(AuswDipl4[[#This Row],[BS_4]],"#.0")</f>
        <v>4.3</v>
      </c>
      <c r="R37" t="str">
        <f ca="1">INDEX(INDIRECT($G$1),MATCH(AuswDipl4[[#This Row],[BS_4]],INDIRECT($E$1),0))</f>
        <v>Bronze</v>
      </c>
    </row>
    <row r="38" spans="2:18" x14ac:dyDescent="0.3">
      <c r="B38" s="282">
        <v>1.34</v>
      </c>
      <c r="C38" t="s">
        <v>97</v>
      </c>
      <c r="E38" s="59">
        <v>4.4000000000000004</v>
      </c>
      <c r="F38" s="59" t="str">
        <f>TEXT(AuswDipl1[[#This Row],[BS_1]],"#.0")</f>
        <v>4.4</v>
      </c>
      <c r="G38" t="str">
        <f ca="1">INDEX(INDIRECT($G$1),MATCH(AuswDipl1[[#This Row],[BS_1]],INDIRECT($E$1),0))</f>
        <v>Bronze</v>
      </c>
      <c r="I38" s="59">
        <v>4.4000000000000004</v>
      </c>
      <c r="J38" s="59" t="str">
        <f>TEXT(AuswDipl2[[#This Row],[BS_2]],"#.0")</f>
        <v>4.4</v>
      </c>
      <c r="K38" t="str">
        <f ca="1">INDEX(INDIRECT($G$1),MATCH(AuswDipl2[[#This Row],[BS_2]],INDIRECT($E$1),0))</f>
        <v>Bronze</v>
      </c>
      <c r="P38" s="59">
        <v>4.4000000000000004</v>
      </c>
      <c r="Q38" s="59" t="str">
        <f>TEXT(AuswDipl4[[#This Row],[BS_4]],"#.0")</f>
        <v>4.4</v>
      </c>
      <c r="R38" t="str">
        <f ca="1">INDEX(INDIRECT($G$1),MATCH(AuswDipl4[[#This Row],[BS_4]],INDIRECT($E$1),0))</f>
        <v>Bronze</v>
      </c>
    </row>
    <row r="39" spans="2:18" x14ac:dyDescent="0.3">
      <c r="B39" s="283">
        <v>1.35</v>
      </c>
      <c r="C39" t="s">
        <v>97</v>
      </c>
      <c r="E39" s="59">
        <v>4.5</v>
      </c>
      <c r="F39" s="59" t="str">
        <f>TEXT(AuswDipl1[[#This Row],[BS_1]],"#.0")</f>
        <v>4.5</v>
      </c>
      <c r="G39" t="str">
        <f ca="1">INDEX(INDIRECT($G$1),MATCH(AuswDipl1[[#This Row],[BS_1]],INDIRECT($E$1),0))</f>
        <v>Bronze</v>
      </c>
      <c r="I39" s="59">
        <v>4.5</v>
      </c>
      <c r="J39" s="59" t="str">
        <f>TEXT(AuswDipl2[[#This Row],[BS_2]],"#.0")</f>
        <v>4.5</v>
      </c>
      <c r="K39" t="str">
        <f ca="1">INDEX(INDIRECT($G$1),MATCH(AuswDipl2[[#This Row],[BS_2]],INDIRECT($E$1),0))</f>
        <v>Bronze</v>
      </c>
      <c r="P39" s="59">
        <v>4.5</v>
      </c>
      <c r="Q39" s="59" t="str">
        <f>TEXT(AuswDipl4[[#This Row],[BS_4]],"#.0")</f>
        <v>4.5</v>
      </c>
      <c r="R39" t="str">
        <f ca="1">INDEX(INDIRECT($G$1),MATCH(AuswDipl4[[#This Row],[BS_4]],INDIRECT($E$1),0))</f>
        <v>Bronze</v>
      </c>
    </row>
    <row r="40" spans="2:18" x14ac:dyDescent="0.3">
      <c r="B40" s="282">
        <v>1.36</v>
      </c>
      <c r="C40" t="s">
        <v>97</v>
      </c>
      <c r="E40" s="59">
        <v>4.5999999999999996</v>
      </c>
      <c r="F40" s="59" t="str">
        <f>TEXT(AuswDipl1[[#This Row],[BS_1]],"#.0")</f>
        <v>4.6</v>
      </c>
      <c r="G40" t="str">
        <f ca="1">INDEX(INDIRECT($G$1),MATCH(AuswDipl1[[#This Row],[BS_1]],INDIRECT($E$1),0))</f>
        <v>Bronze</v>
      </c>
      <c r="I40" s="59">
        <v>4.5999999999999996</v>
      </c>
      <c r="J40" s="59" t="str">
        <f>TEXT(AuswDipl2[[#This Row],[BS_2]],"#.0")</f>
        <v>4.6</v>
      </c>
      <c r="K40" t="str">
        <f ca="1">INDEX(INDIRECT($G$1),MATCH(AuswDipl2[[#This Row],[BS_2]],INDIRECT($E$1),0))</f>
        <v>Bronze</v>
      </c>
      <c r="P40" s="59">
        <v>4.5999999999999996</v>
      </c>
      <c r="Q40" s="59" t="str">
        <f>TEXT(AuswDipl4[[#This Row],[BS_4]],"#.0")</f>
        <v>4.6</v>
      </c>
      <c r="R40" t="str">
        <f ca="1">INDEX(INDIRECT($G$1),MATCH(AuswDipl4[[#This Row],[BS_4]],INDIRECT($E$1),0))</f>
        <v>Bronze</v>
      </c>
    </row>
    <row r="41" spans="2:18" x14ac:dyDescent="0.3">
      <c r="B41" s="283">
        <v>1.37</v>
      </c>
      <c r="C41" t="s">
        <v>97</v>
      </c>
      <c r="E41" s="59">
        <v>4.7</v>
      </c>
      <c r="F41" s="59" t="str">
        <f>TEXT(AuswDipl1[[#This Row],[BS_1]],"#.0")</f>
        <v>4.7</v>
      </c>
      <c r="G41" t="str">
        <f ca="1">INDEX(INDIRECT($G$1),MATCH(AuswDipl1[[#This Row],[BS_1]],INDIRECT($E$1),0))</f>
        <v>Bronze</v>
      </c>
      <c r="I41" s="59">
        <v>4.7</v>
      </c>
      <c r="J41" s="59" t="str">
        <f>TEXT(AuswDipl2[[#This Row],[BS_2]],"#.0")</f>
        <v>4.7</v>
      </c>
      <c r="K41" t="str">
        <f ca="1">INDEX(INDIRECT($G$1),MATCH(AuswDipl2[[#This Row],[BS_2]],INDIRECT($E$1),0))</f>
        <v>Bronze</v>
      </c>
      <c r="P41" s="59">
        <v>4.7</v>
      </c>
      <c r="Q41" s="59" t="str">
        <f>TEXT(AuswDipl4[[#This Row],[BS_4]],"#.0")</f>
        <v>4.7</v>
      </c>
      <c r="R41" t="str">
        <f ca="1">INDEX(INDIRECT($G$1),MATCH(AuswDipl4[[#This Row],[BS_4]],INDIRECT($E$1),0))</f>
        <v>Bronze</v>
      </c>
    </row>
    <row r="42" spans="2:18" x14ac:dyDescent="0.3">
      <c r="B42" s="282">
        <v>1.38</v>
      </c>
      <c r="C42" t="s">
        <v>97</v>
      </c>
      <c r="E42" s="59">
        <v>4.8</v>
      </c>
      <c r="F42" s="59" t="str">
        <f>TEXT(AuswDipl1[[#This Row],[BS_1]],"#.0")</f>
        <v>4.8</v>
      </c>
      <c r="G42" t="str">
        <f ca="1">INDEX(INDIRECT($G$1),MATCH(AuswDipl1[[#This Row],[BS_1]],INDIRECT($E$1),0))</f>
        <v>Silber</v>
      </c>
      <c r="I42" s="59">
        <v>4.8</v>
      </c>
      <c r="J42" s="59" t="str">
        <f>TEXT(AuswDipl2[[#This Row],[BS_2]],"#.0")</f>
        <v>4.8</v>
      </c>
      <c r="K42" t="str">
        <f ca="1">INDEX(INDIRECT($G$1),MATCH(AuswDipl2[[#This Row],[BS_2]],INDIRECT($E$1),0))</f>
        <v>Silber</v>
      </c>
      <c r="P42" s="59">
        <v>4.8</v>
      </c>
      <c r="Q42" s="59" t="str">
        <f>TEXT(AuswDipl4[[#This Row],[BS_4]],"#.0")</f>
        <v>4.8</v>
      </c>
      <c r="R42" t="str">
        <f ca="1">INDEX(INDIRECT($G$1),MATCH(AuswDipl4[[#This Row],[BS_4]],INDIRECT($E$1),0))</f>
        <v>Silber</v>
      </c>
    </row>
    <row r="43" spans="2:18" x14ac:dyDescent="0.3">
      <c r="B43" s="283">
        <v>1.39</v>
      </c>
      <c r="C43" t="s">
        <v>97</v>
      </c>
      <c r="E43" s="59">
        <v>4.9000000000000004</v>
      </c>
      <c r="F43" s="59" t="str">
        <f>TEXT(AuswDipl1[[#This Row],[BS_1]],"#.0")</f>
        <v>4.9</v>
      </c>
      <c r="G43" t="str">
        <f ca="1">INDEX(INDIRECT($G$1),MATCH(AuswDipl1[[#This Row],[BS_1]],INDIRECT($E$1),0))</f>
        <v>Silber</v>
      </c>
      <c r="I43" s="59">
        <v>4.9000000000000004</v>
      </c>
      <c r="J43" s="59" t="str">
        <f>TEXT(AuswDipl2[[#This Row],[BS_2]],"#.0")</f>
        <v>4.9</v>
      </c>
      <c r="K43" t="str">
        <f ca="1">INDEX(INDIRECT($G$1),MATCH(AuswDipl2[[#This Row],[BS_2]],INDIRECT($E$1),0))</f>
        <v>Silber</v>
      </c>
      <c r="P43" s="59">
        <v>4.9000000000000004</v>
      </c>
      <c r="Q43" s="59" t="str">
        <f>TEXT(AuswDipl4[[#This Row],[BS_4]],"#.0")</f>
        <v>4.9</v>
      </c>
      <c r="R43" t="str">
        <f ca="1">INDEX(INDIRECT($G$1),MATCH(AuswDipl4[[#This Row],[BS_4]],INDIRECT($E$1),0))</f>
        <v>Silber</v>
      </c>
    </row>
    <row r="44" spans="2:18" x14ac:dyDescent="0.3">
      <c r="B44" s="282">
        <v>1.4</v>
      </c>
      <c r="C44" t="s">
        <v>97</v>
      </c>
      <c r="E44" s="59">
        <v>5</v>
      </c>
      <c r="F44" s="59" t="str">
        <f>TEXT(AuswDipl1[[#This Row],[BS_1]],"#.0")</f>
        <v>5.0</v>
      </c>
      <c r="G44" t="str">
        <f ca="1">INDEX(INDIRECT($G$1),MATCH(AuswDipl1[[#This Row],[BS_1]],INDIRECT($E$1),0))</f>
        <v>Silber</v>
      </c>
      <c r="I44" s="59">
        <v>5</v>
      </c>
      <c r="J44" s="59" t="str">
        <f>TEXT(AuswDipl2[[#This Row],[BS_2]],"#.0")</f>
        <v>5.0</v>
      </c>
      <c r="K44" t="str">
        <f ca="1">INDEX(INDIRECT($G$1),MATCH(AuswDipl2[[#This Row],[BS_2]],INDIRECT($E$1),0))</f>
        <v>Silber</v>
      </c>
      <c r="P44" s="59">
        <v>5</v>
      </c>
      <c r="Q44" s="59" t="str">
        <f>TEXT(AuswDipl4[[#This Row],[BS_4]],"#.0")</f>
        <v>5.0</v>
      </c>
      <c r="R44" t="str">
        <f ca="1">INDEX(INDIRECT($G$1),MATCH(AuswDipl4[[#This Row],[BS_4]],INDIRECT($E$1),0))</f>
        <v>Silber</v>
      </c>
    </row>
    <row r="45" spans="2:18" x14ac:dyDescent="0.3">
      <c r="B45" s="283">
        <v>1.41</v>
      </c>
      <c r="C45" t="s">
        <v>97</v>
      </c>
      <c r="E45" s="59">
        <v>5.0999999999999996</v>
      </c>
      <c r="F45" s="59" t="str">
        <f>TEXT(AuswDipl1[[#This Row],[BS_1]],"#.0")</f>
        <v>5.1</v>
      </c>
      <c r="G45" t="str">
        <f ca="1">INDEX(INDIRECT($G$1),MATCH(AuswDipl1[[#This Row],[BS_1]],INDIRECT($E$1),0))</f>
        <v>Silber</v>
      </c>
      <c r="I45" s="59">
        <v>5.0999999999999996</v>
      </c>
      <c r="J45" s="59" t="str">
        <f>TEXT(AuswDipl2[[#This Row],[BS_2]],"#.0")</f>
        <v>5.1</v>
      </c>
      <c r="K45" t="str">
        <f ca="1">INDEX(INDIRECT($G$1),MATCH(AuswDipl2[[#This Row],[BS_2]],INDIRECT($E$1),0))</f>
        <v>Silber</v>
      </c>
      <c r="P45" s="59">
        <v>5.0999999999999996</v>
      </c>
      <c r="Q45" s="59" t="str">
        <f>TEXT(AuswDipl4[[#This Row],[BS_4]],"#.0")</f>
        <v>5.1</v>
      </c>
      <c r="R45" t="str">
        <f ca="1">INDEX(INDIRECT($G$1),MATCH(AuswDipl4[[#This Row],[BS_4]],INDIRECT($E$1),0))</f>
        <v>Silber</v>
      </c>
    </row>
    <row r="46" spans="2:18" x14ac:dyDescent="0.3">
      <c r="B46" s="282">
        <v>1.42</v>
      </c>
      <c r="C46" t="s">
        <v>97</v>
      </c>
      <c r="E46" s="59">
        <v>5.2</v>
      </c>
      <c r="F46" s="59" t="str">
        <f>TEXT(AuswDipl1[[#This Row],[BS_1]],"#.0")</f>
        <v>5.2</v>
      </c>
      <c r="G46" t="str">
        <f ca="1">INDEX(INDIRECT($G$1),MATCH(AuswDipl1[[#This Row],[BS_1]],INDIRECT($E$1),0))</f>
        <v>Silber</v>
      </c>
      <c r="I46" s="59">
        <v>5.2</v>
      </c>
      <c r="J46" s="59" t="str">
        <f>TEXT(AuswDipl2[[#This Row],[BS_2]],"#.0")</f>
        <v>5.2</v>
      </c>
      <c r="K46" t="str">
        <f ca="1">INDEX(INDIRECT($G$1),MATCH(AuswDipl2[[#This Row],[BS_2]],INDIRECT($E$1),0))</f>
        <v>Silber</v>
      </c>
      <c r="P46" s="59">
        <v>5.2</v>
      </c>
      <c r="Q46" s="59" t="str">
        <f>TEXT(AuswDipl4[[#This Row],[BS_4]],"#.0")</f>
        <v>5.2</v>
      </c>
      <c r="R46" t="str">
        <f ca="1">INDEX(INDIRECT($G$1),MATCH(AuswDipl4[[#This Row],[BS_4]],INDIRECT($E$1),0))</f>
        <v>Silber</v>
      </c>
    </row>
    <row r="47" spans="2:18" x14ac:dyDescent="0.3">
      <c r="B47" s="283">
        <v>1.43</v>
      </c>
      <c r="C47" t="s">
        <v>97</v>
      </c>
      <c r="E47" s="59">
        <v>5.3</v>
      </c>
      <c r="F47" s="59" t="str">
        <f>TEXT(AuswDipl1[[#This Row],[BS_1]],"#.0")</f>
        <v>5.3</v>
      </c>
      <c r="G47" t="str">
        <f ca="1">INDEX(INDIRECT($G$1),MATCH(AuswDipl1[[#This Row],[BS_1]],INDIRECT($E$1),0))</f>
        <v>Silber</v>
      </c>
      <c r="I47" s="59">
        <v>5.3</v>
      </c>
      <c r="J47" s="59" t="str">
        <f>TEXT(AuswDipl2[[#This Row],[BS_2]],"#.0")</f>
        <v>5.3</v>
      </c>
      <c r="K47" t="str">
        <f ca="1">INDEX(INDIRECT($G$1),MATCH(AuswDipl2[[#This Row],[BS_2]],INDIRECT($E$1),0))</f>
        <v>Silber</v>
      </c>
      <c r="P47" s="59">
        <v>5.3</v>
      </c>
      <c r="Q47" s="59" t="str">
        <f>TEXT(AuswDipl4[[#This Row],[BS_4]],"#.0")</f>
        <v>5.3</v>
      </c>
      <c r="R47" t="str">
        <f ca="1">INDEX(INDIRECT($G$1),MATCH(AuswDipl4[[#This Row],[BS_4]],INDIRECT($E$1),0))</f>
        <v>Silber</v>
      </c>
    </row>
    <row r="48" spans="2:18" x14ac:dyDescent="0.3">
      <c r="B48" s="282">
        <v>1.44</v>
      </c>
      <c r="C48" t="s">
        <v>97</v>
      </c>
      <c r="E48" s="59">
        <v>5.4</v>
      </c>
      <c r="F48" s="59" t="str">
        <f>TEXT(AuswDipl1[[#This Row],[BS_1]],"#.0")</f>
        <v>5.4</v>
      </c>
      <c r="G48" t="str">
        <f ca="1">INDEX(INDIRECT($G$1),MATCH(AuswDipl1[[#This Row],[BS_1]],INDIRECT($E$1),0))</f>
        <v>Silber</v>
      </c>
      <c r="I48" s="59">
        <v>5.4</v>
      </c>
      <c r="J48" s="59" t="str">
        <f>TEXT(AuswDipl2[[#This Row],[BS_2]],"#.0")</f>
        <v>5.4</v>
      </c>
      <c r="K48" t="str">
        <f ca="1">INDEX(INDIRECT($G$1),MATCH(AuswDipl2[[#This Row],[BS_2]],INDIRECT($E$1),0))</f>
        <v>Silber</v>
      </c>
      <c r="P48" s="59">
        <v>5.4</v>
      </c>
      <c r="Q48" s="59" t="str">
        <f>TEXT(AuswDipl4[[#This Row],[BS_4]],"#.0")</f>
        <v>5.4</v>
      </c>
      <c r="R48" t="str">
        <f ca="1">INDEX(INDIRECT($G$1),MATCH(AuswDipl4[[#This Row],[BS_4]],INDIRECT($E$1),0))</f>
        <v>Silber</v>
      </c>
    </row>
    <row r="49" spans="2:18" x14ac:dyDescent="0.3">
      <c r="B49" s="283">
        <v>1.45</v>
      </c>
      <c r="C49" t="s">
        <v>97</v>
      </c>
      <c r="E49" s="59">
        <v>5.5</v>
      </c>
      <c r="F49" s="59" t="str">
        <f>TEXT(AuswDipl1[[#This Row],[BS_1]],"#.0")</f>
        <v>5.5</v>
      </c>
      <c r="G49" t="str">
        <f ca="1">INDEX(INDIRECT($G$1),MATCH(AuswDipl1[[#This Row],[BS_1]],INDIRECT($E$1),0))</f>
        <v>Silber</v>
      </c>
      <c r="I49" s="59">
        <v>5.5</v>
      </c>
      <c r="J49" s="59" t="str">
        <f>TEXT(AuswDipl2[[#This Row],[BS_2]],"#.0")</f>
        <v>5.5</v>
      </c>
      <c r="K49" t="str">
        <f ca="1">INDEX(INDIRECT($G$1),MATCH(AuswDipl2[[#This Row],[BS_2]],INDIRECT($E$1),0))</f>
        <v>Silber</v>
      </c>
      <c r="P49" s="59">
        <v>5.5</v>
      </c>
      <c r="Q49" s="59" t="str">
        <f>TEXT(AuswDipl4[[#This Row],[BS_4]],"#.0")</f>
        <v>5.5</v>
      </c>
      <c r="R49" t="str">
        <f ca="1">INDEX(INDIRECT($G$1),MATCH(AuswDipl4[[#This Row],[BS_4]],INDIRECT($E$1),0))</f>
        <v>Silber</v>
      </c>
    </row>
    <row r="50" spans="2:18" x14ac:dyDescent="0.3">
      <c r="B50" s="282">
        <v>1.46</v>
      </c>
      <c r="C50" t="s">
        <v>97</v>
      </c>
      <c r="E50" s="59">
        <v>5.6</v>
      </c>
      <c r="F50" s="59" t="str">
        <f>TEXT(AuswDipl1[[#This Row],[BS_1]],"#.0")</f>
        <v>5.6</v>
      </c>
      <c r="G50" t="str">
        <f ca="1">INDEX(INDIRECT($G$1),MATCH(AuswDipl1[[#This Row],[BS_1]],INDIRECT($E$1),0))</f>
        <v>Silber</v>
      </c>
      <c r="I50" s="59">
        <v>5.6</v>
      </c>
      <c r="J50" s="59" t="str">
        <f>TEXT(AuswDipl2[[#This Row],[BS_2]],"#.0")</f>
        <v>5.6</v>
      </c>
      <c r="K50" t="str">
        <f ca="1">INDEX(INDIRECT($G$1),MATCH(AuswDipl2[[#This Row],[BS_2]],INDIRECT($E$1),0))</f>
        <v>Silber</v>
      </c>
      <c r="P50" s="59">
        <v>5.6</v>
      </c>
      <c r="Q50" s="59" t="str">
        <f>TEXT(AuswDipl4[[#This Row],[BS_4]],"#.0")</f>
        <v>5.6</v>
      </c>
      <c r="R50" t="str">
        <f ca="1">INDEX(INDIRECT($G$1),MATCH(AuswDipl4[[#This Row],[BS_4]],INDIRECT($E$1),0))</f>
        <v>Silber</v>
      </c>
    </row>
    <row r="51" spans="2:18" x14ac:dyDescent="0.3">
      <c r="B51" s="283">
        <v>1.47</v>
      </c>
      <c r="C51" t="s">
        <v>97</v>
      </c>
      <c r="E51" s="59">
        <v>5.7</v>
      </c>
      <c r="F51" s="59" t="str">
        <f>TEXT(AuswDipl1[[#This Row],[BS_1]],"#.0")</f>
        <v>5.7</v>
      </c>
      <c r="G51" t="str">
        <f ca="1">INDEX(INDIRECT($G$1),MATCH(AuswDipl1[[#This Row],[BS_1]],INDIRECT($E$1),0))</f>
        <v>Silber</v>
      </c>
      <c r="I51" s="59">
        <v>5.7</v>
      </c>
      <c r="J51" s="59" t="str">
        <f>TEXT(AuswDipl2[[#This Row],[BS_2]],"#.0")</f>
        <v>5.7</v>
      </c>
      <c r="K51" t="str">
        <f ca="1">INDEX(INDIRECT($G$1),MATCH(AuswDipl2[[#This Row],[BS_2]],INDIRECT($E$1),0))</f>
        <v>Silber</v>
      </c>
      <c r="P51" s="59">
        <v>5.7</v>
      </c>
      <c r="Q51" s="59" t="str">
        <f>TEXT(AuswDipl4[[#This Row],[BS_4]],"#.0")</f>
        <v>5.7</v>
      </c>
      <c r="R51" t="str">
        <f ca="1">INDEX(INDIRECT($G$1),MATCH(AuswDipl4[[#This Row],[BS_4]],INDIRECT($E$1),0))</f>
        <v>Silber</v>
      </c>
    </row>
    <row r="52" spans="2:18" x14ac:dyDescent="0.3">
      <c r="B52" s="282">
        <v>1.48</v>
      </c>
      <c r="C52" t="s">
        <v>97</v>
      </c>
      <c r="E52" s="59">
        <v>5.8</v>
      </c>
      <c r="F52" s="59" t="str">
        <f>TEXT(AuswDipl1[[#This Row],[BS_1]],"#.0")</f>
        <v>5.8</v>
      </c>
      <c r="G52" t="str">
        <f ca="1">INDEX(INDIRECT($G$1),MATCH(AuswDipl1[[#This Row],[BS_1]],INDIRECT($E$1),0))</f>
        <v>Gold</v>
      </c>
      <c r="I52" s="59">
        <v>5.8</v>
      </c>
      <c r="J52" s="59" t="str">
        <f>TEXT(AuswDipl2[[#This Row],[BS_2]],"#.0")</f>
        <v>5.8</v>
      </c>
      <c r="K52" t="str">
        <f ca="1">INDEX(INDIRECT($G$1),MATCH(AuswDipl2[[#This Row],[BS_2]],INDIRECT($E$1),0))</f>
        <v>Gold</v>
      </c>
      <c r="P52" s="59">
        <v>5.8</v>
      </c>
      <c r="Q52" s="59" t="str">
        <f>TEXT(AuswDipl4[[#This Row],[BS_4]],"#.0")</f>
        <v>5.8</v>
      </c>
      <c r="R52" t="str">
        <f ca="1">INDEX(INDIRECT($G$1),MATCH(AuswDipl4[[#This Row],[BS_4]],INDIRECT($E$1),0))</f>
        <v>Gold</v>
      </c>
    </row>
    <row r="53" spans="2:18" x14ac:dyDescent="0.3">
      <c r="B53" s="283">
        <v>1.49</v>
      </c>
      <c r="C53" t="s">
        <v>97</v>
      </c>
      <c r="E53" s="59">
        <v>5.9</v>
      </c>
      <c r="F53" s="59" t="str">
        <f>TEXT(AuswDipl1[[#This Row],[BS_1]],"#.0")</f>
        <v>5.9</v>
      </c>
      <c r="G53" t="str">
        <f ca="1">INDEX(INDIRECT($G$1),MATCH(AuswDipl1[[#This Row],[BS_1]],INDIRECT($E$1),0))</f>
        <v>Gold</v>
      </c>
      <c r="I53" s="59">
        <v>5.9</v>
      </c>
      <c r="J53" s="59" t="str">
        <f>TEXT(AuswDipl2[[#This Row],[BS_2]],"#.0")</f>
        <v>5.9</v>
      </c>
      <c r="K53" t="str">
        <f ca="1">INDEX(INDIRECT($G$1),MATCH(AuswDipl2[[#This Row],[BS_2]],INDIRECT($E$1),0))</f>
        <v>Gold</v>
      </c>
      <c r="P53" s="59">
        <v>5.9</v>
      </c>
      <c r="Q53" s="59" t="str">
        <f>TEXT(AuswDipl4[[#This Row],[BS_4]],"#.0")</f>
        <v>5.9</v>
      </c>
      <c r="R53" t="str">
        <f ca="1">INDEX(INDIRECT($G$1),MATCH(AuswDipl4[[#This Row],[BS_4]],INDIRECT($E$1),0))</f>
        <v>Gold</v>
      </c>
    </row>
    <row r="54" spans="2:18" x14ac:dyDescent="0.3">
      <c r="B54" s="282">
        <v>1.5</v>
      </c>
      <c r="C54" t="s">
        <v>97</v>
      </c>
      <c r="E54" s="59">
        <v>6</v>
      </c>
      <c r="F54" s="59" t="str">
        <f>TEXT(AuswDipl1[[#This Row],[BS_1]],"#.0")</f>
        <v>6.0</v>
      </c>
      <c r="G54" t="str">
        <f ca="1">INDEX(INDIRECT($G$1),MATCH(AuswDipl1[[#This Row],[BS_1]],INDIRECT($E$1),0))</f>
        <v>Gold</v>
      </c>
      <c r="I54" s="59">
        <v>6</v>
      </c>
      <c r="J54" s="59" t="str">
        <f>TEXT(AuswDipl2[[#This Row],[BS_2]],"#.0")</f>
        <v>6.0</v>
      </c>
      <c r="K54" t="str">
        <f ca="1">INDEX(INDIRECT($G$1),MATCH(AuswDipl2[[#This Row],[BS_2]],INDIRECT($E$1),0))</f>
        <v>Gold</v>
      </c>
      <c r="P54" s="59">
        <v>6</v>
      </c>
      <c r="Q54" s="59" t="str">
        <f>TEXT(AuswDipl4[[#This Row],[BS_4]],"#.0")</f>
        <v>6.0</v>
      </c>
      <c r="R54" t="str">
        <f ca="1">INDEX(INDIRECT($G$1),MATCH(AuswDipl4[[#This Row],[BS_4]],INDIRECT($E$1),0))</f>
        <v>Gold</v>
      </c>
    </row>
    <row r="55" spans="2:18" x14ac:dyDescent="0.3">
      <c r="B55" s="283">
        <v>1.51</v>
      </c>
      <c r="C55" t="s">
        <v>97</v>
      </c>
    </row>
    <row r="56" spans="2:18" x14ac:dyDescent="0.3">
      <c r="B56" s="282">
        <v>1.52</v>
      </c>
      <c r="C56" t="s">
        <v>97</v>
      </c>
    </row>
    <row r="57" spans="2:18" x14ac:dyDescent="0.3">
      <c r="B57" s="283">
        <v>1.53</v>
      </c>
      <c r="C57" t="s">
        <v>97</v>
      </c>
    </row>
    <row r="58" spans="2:18" x14ac:dyDescent="0.3">
      <c r="B58" s="282">
        <v>1.54</v>
      </c>
      <c r="C58" t="s">
        <v>97</v>
      </c>
    </row>
    <row r="59" spans="2:18" x14ac:dyDescent="0.3">
      <c r="B59" s="283">
        <v>1.55</v>
      </c>
      <c r="C59" t="s">
        <v>97</v>
      </c>
    </row>
    <row r="60" spans="2:18" x14ac:dyDescent="0.3">
      <c r="B60" s="282">
        <v>1.56</v>
      </c>
      <c r="C60" t="s">
        <v>97</v>
      </c>
    </row>
    <row r="61" spans="2:18" x14ac:dyDescent="0.3">
      <c r="B61" s="283">
        <v>1.57</v>
      </c>
      <c r="C61" t="s">
        <v>97</v>
      </c>
    </row>
    <row r="62" spans="2:18" x14ac:dyDescent="0.3">
      <c r="B62" s="282">
        <v>1.58</v>
      </c>
      <c r="C62" t="s">
        <v>97</v>
      </c>
    </row>
    <row r="63" spans="2:18" x14ac:dyDescent="0.3">
      <c r="B63" s="283">
        <v>1.59</v>
      </c>
      <c r="C63" t="s">
        <v>97</v>
      </c>
    </row>
    <row r="64" spans="2:18" x14ac:dyDescent="0.3">
      <c r="B64" s="282">
        <v>1.6</v>
      </c>
      <c r="C64" t="s">
        <v>97</v>
      </c>
    </row>
    <row r="65" spans="2:3" x14ac:dyDescent="0.3">
      <c r="B65" s="283">
        <v>1.61</v>
      </c>
      <c r="C65" t="s">
        <v>97</v>
      </c>
    </row>
    <row r="66" spans="2:3" x14ac:dyDescent="0.3">
      <c r="B66" s="282">
        <v>1.62</v>
      </c>
      <c r="C66" t="s">
        <v>97</v>
      </c>
    </row>
    <row r="67" spans="2:3" x14ac:dyDescent="0.3">
      <c r="B67" s="283">
        <v>1.63</v>
      </c>
      <c r="C67" t="s">
        <v>97</v>
      </c>
    </row>
    <row r="68" spans="2:3" x14ac:dyDescent="0.3">
      <c r="B68" s="282">
        <v>1.64</v>
      </c>
      <c r="C68" t="s">
        <v>97</v>
      </c>
    </row>
    <row r="69" spans="2:3" x14ac:dyDescent="0.3">
      <c r="B69" s="283">
        <v>1.65</v>
      </c>
      <c r="C69" t="s">
        <v>97</v>
      </c>
    </row>
    <row r="70" spans="2:3" x14ac:dyDescent="0.3">
      <c r="B70" s="282">
        <v>1.66</v>
      </c>
      <c r="C70" t="s">
        <v>97</v>
      </c>
    </row>
    <row r="71" spans="2:3" x14ac:dyDescent="0.3">
      <c r="B71" s="283">
        <v>1.67</v>
      </c>
      <c r="C71" t="s">
        <v>97</v>
      </c>
    </row>
    <row r="72" spans="2:3" x14ac:dyDescent="0.3">
      <c r="B72" s="282">
        <v>1.68</v>
      </c>
      <c r="C72" t="s">
        <v>97</v>
      </c>
    </row>
    <row r="73" spans="2:3" x14ac:dyDescent="0.3">
      <c r="B73" s="283">
        <v>1.69</v>
      </c>
      <c r="C73" t="s">
        <v>97</v>
      </c>
    </row>
    <row r="74" spans="2:3" x14ac:dyDescent="0.3">
      <c r="B74" s="282">
        <v>1.7</v>
      </c>
      <c r="C74" t="s">
        <v>97</v>
      </c>
    </row>
    <row r="75" spans="2:3" x14ac:dyDescent="0.3">
      <c r="B75" s="283">
        <v>1.71</v>
      </c>
      <c r="C75" t="s">
        <v>97</v>
      </c>
    </row>
    <row r="76" spans="2:3" x14ac:dyDescent="0.3">
      <c r="B76" s="282">
        <v>1.72</v>
      </c>
      <c r="C76" t="s">
        <v>97</v>
      </c>
    </row>
    <row r="77" spans="2:3" x14ac:dyDescent="0.3">
      <c r="B77" s="283">
        <v>1.73</v>
      </c>
      <c r="C77" t="s">
        <v>97</v>
      </c>
    </row>
    <row r="78" spans="2:3" x14ac:dyDescent="0.3">
      <c r="B78" s="282">
        <v>1.74</v>
      </c>
      <c r="C78" t="s">
        <v>97</v>
      </c>
    </row>
    <row r="79" spans="2:3" x14ac:dyDescent="0.3">
      <c r="B79" s="283">
        <v>1.75</v>
      </c>
      <c r="C79" t="s">
        <v>97</v>
      </c>
    </row>
    <row r="80" spans="2:3" x14ac:dyDescent="0.3">
      <c r="B80" s="282">
        <v>1.76</v>
      </c>
      <c r="C80" t="s">
        <v>97</v>
      </c>
    </row>
    <row r="81" spans="2:3" x14ac:dyDescent="0.3">
      <c r="B81" s="283">
        <v>1.77</v>
      </c>
      <c r="C81" t="s">
        <v>97</v>
      </c>
    </row>
    <row r="82" spans="2:3" x14ac:dyDescent="0.3">
      <c r="B82" s="282">
        <v>1.78</v>
      </c>
      <c r="C82" t="s">
        <v>97</v>
      </c>
    </row>
    <row r="83" spans="2:3" x14ac:dyDescent="0.3">
      <c r="B83" s="283">
        <v>1.79</v>
      </c>
      <c r="C83" t="s">
        <v>97</v>
      </c>
    </row>
    <row r="84" spans="2:3" x14ac:dyDescent="0.3">
      <c r="B84" s="282">
        <v>1.8</v>
      </c>
      <c r="C84" t="s">
        <v>97</v>
      </c>
    </row>
    <row r="85" spans="2:3" x14ac:dyDescent="0.3">
      <c r="B85" s="283">
        <v>1.81</v>
      </c>
      <c r="C85" t="s">
        <v>97</v>
      </c>
    </row>
    <row r="86" spans="2:3" x14ac:dyDescent="0.3">
      <c r="B86" s="282">
        <v>1.82</v>
      </c>
      <c r="C86" t="s">
        <v>97</v>
      </c>
    </row>
    <row r="87" spans="2:3" x14ac:dyDescent="0.3">
      <c r="B87" s="283">
        <v>1.83</v>
      </c>
      <c r="C87" t="s">
        <v>97</v>
      </c>
    </row>
    <row r="88" spans="2:3" x14ac:dyDescent="0.3">
      <c r="B88" s="282">
        <v>1.84</v>
      </c>
      <c r="C88" t="s">
        <v>97</v>
      </c>
    </row>
    <row r="89" spans="2:3" x14ac:dyDescent="0.3">
      <c r="B89" s="283">
        <v>1.85</v>
      </c>
      <c r="C89" t="s">
        <v>97</v>
      </c>
    </row>
    <row r="90" spans="2:3" x14ac:dyDescent="0.3">
      <c r="B90" s="282">
        <v>1.86</v>
      </c>
      <c r="C90" t="s">
        <v>97</v>
      </c>
    </row>
    <row r="91" spans="2:3" x14ac:dyDescent="0.3">
      <c r="B91" s="283">
        <v>1.87</v>
      </c>
      <c r="C91" t="s">
        <v>97</v>
      </c>
    </row>
    <row r="92" spans="2:3" x14ac:dyDescent="0.3">
      <c r="B92" s="282">
        <v>1.88</v>
      </c>
      <c r="C92" t="s">
        <v>97</v>
      </c>
    </row>
    <row r="93" spans="2:3" x14ac:dyDescent="0.3">
      <c r="B93" s="283">
        <v>1.89</v>
      </c>
      <c r="C93" t="s">
        <v>97</v>
      </c>
    </row>
    <row r="94" spans="2:3" x14ac:dyDescent="0.3">
      <c r="B94" s="282">
        <v>1.9</v>
      </c>
      <c r="C94" t="s">
        <v>97</v>
      </c>
    </row>
    <row r="95" spans="2:3" x14ac:dyDescent="0.3">
      <c r="B95" s="283">
        <v>1.91</v>
      </c>
      <c r="C95" t="s">
        <v>97</v>
      </c>
    </row>
    <row r="96" spans="2:3" x14ac:dyDescent="0.3">
      <c r="B96" s="282">
        <v>1.92</v>
      </c>
      <c r="C96" t="s">
        <v>97</v>
      </c>
    </row>
    <row r="97" spans="2:3" x14ac:dyDescent="0.3">
      <c r="B97" s="283">
        <v>1.93</v>
      </c>
      <c r="C97" t="s">
        <v>97</v>
      </c>
    </row>
    <row r="98" spans="2:3" x14ac:dyDescent="0.3">
      <c r="B98" s="282">
        <v>1.94</v>
      </c>
      <c r="C98" t="s">
        <v>97</v>
      </c>
    </row>
    <row r="99" spans="2:3" x14ac:dyDescent="0.3">
      <c r="B99" s="283">
        <v>1.95</v>
      </c>
      <c r="C99" t="s">
        <v>97</v>
      </c>
    </row>
    <row r="100" spans="2:3" x14ac:dyDescent="0.3">
      <c r="B100" s="282">
        <v>1.96</v>
      </c>
      <c r="C100" t="s">
        <v>97</v>
      </c>
    </row>
    <row r="101" spans="2:3" x14ac:dyDescent="0.3">
      <c r="B101" s="283">
        <v>1.97</v>
      </c>
      <c r="C101" t="s">
        <v>97</v>
      </c>
    </row>
    <row r="102" spans="2:3" x14ac:dyDescent="0.3">
      <c r="B102" s="282">
        <v>1.98</v>
      </c>
      <c r="C102" t="s">
        <v>97</v>
      </c>
    </row>
    <row r="103" spans="2:3" x14ac:dyDescent="0.3">
      <c r="B103" s="283">
        <v>1.99</v>
      </c>
      <c r="C103" t="s">
        <v>97</v>
      </c>
    </row>
    <row r="104" spans="2:3" x14ac:dyDescent="0.3">
      <c r="B104" s="282">
        <v>2</v>
      </c>
      <c r="C104" t="s">
        <v>97</v>
      </c>
    </row>
    <row r="105" spans="2:3" x14ac:dyDescent="0.3">
      <c r="B105" s="283">
        <v>2.0099999999999998</v>
      </c>
      <c r="C105" t="s">
        <v>97</v>
      </c>
    </row>
    <row r="106" spans="2:3" x14ac:dyDescent="0.3">
      <c r="B106" s="282">
        <v>2.02</v>
      </c>
      <c r="C106" t="s">
        <v>97</v>
      </c>
    </row>
    <row r="107" spans="2:3" x14ac:dyDescent="0.3">
      <c r="B107" s="283">
        <v>2.0299999999999998</v>
      </c>
      <c r="C107" t="s">
        <v>97</v>
      </c>
    </row>
    <row r="108" spans="2:3" x14ac:dyDescent="0.3">
      <c r="B108" s="282">
        <v>2.04</v>
      </c>
      <c r="C108" t="s">
        <v>97</v>
      </c>
    </row>
    <row r="109" spans="2:3" x14ac:dyDescent="0.3">
      <c r="B109" s="283">
        <v>2.0499999999999998</v>
      </c>
      <c r="C109" t="s">
        <v>97</v>
      </c>
    </row>
    <row r="110" spans="2:3" x14ac:dyDescent="0.3">
      <c r="B110" s="282">
        <v>2.06</v>
      </c>
      <c r="C110" t="s">
        <v>97</v>
      </c>
    </row>
    <row r="111" spans="2:3" x14ac:dyDescent="0.3">
      <c r="B111" s="283">
        <v>2.0699999999999998</v>
      </c>
      <c r="C111" t="s">
        <v>97</v>
      </c>
    </row>
    <row r="112" spans="2:3" x14ac:dyDescent="0.3">
      <c r="B112" s="282">
        <v>2.08</v>
      </c>
      <c r="C112" t="s">
        <v>97</v>
      </c>
    </row>
    <row r="113" spans="2:3" x14ac:dyDescent="0.3">
      <c r="B113" s="283">
        <v>2.09</v>
      </c>
      <c r="C113" t="s">
        <v>97</v>
      </c>
    </row>
    <row r="114" spans="2:3" x14ac:dyDescent="0.3">
      <c r="B114" s="282">
        <v>2.1</v>
      </c>
      <c r="C114" t="s">
        <v>97</v>
      </c>
    </row>
    <row r="115" spans="2:3" x14ac:dyDescent="0.3">
      <c r="B115" s="283">
        <v>2.11</v>
      </c>
      <c r="C115" t="s">
        <v>97</v>
      </c>
    </row>
    <row r="116" spans="2:3" x14ac:dyDescent="0.3">
      <c r="B116" s="282">
        <v>2.12</v>
      </c>
      <c r="C116" t="s">
        <v>97</v>
      </c>
    </row>
    <row r="117" spans="2:3" x14ac:dyDescent="0.3">
      <c r="B117" s="283">
        <v>2.13</v>
      </c>
      <c r="C117" t="s">
        <v>97</v>
      </c>
    </row>
    <row r="118" spans="2:3" x14ac:dyDescent="0.3">
      <c r="B118" s="282">
        <v>2.14</v>
      </c>
      <c r="C118" t="s">
        <v>97</v>
      </c>
    </row>
    <row r="119" spans="2:3" x14ac:dyDescent="0.3">
      <c r="B119" s="283">
        <v>2.15</v>
      </c>
      <c r="C119" t="s">
        <v>97</v>
      </c>
    </row>
    <row r="120" spans="2:3" x14ac:dyDescent="0.3">
      <c r="B120" s="282">
        <v>2.16</v>
      </c>
      <c r="C120" t="s">
        <v>97</v>
      </c>
    </row>
    <row r="121" spans="2:3" x14ac:dyDescent="0.3">
      <c r="B121" s="283">
        <v>2.17</v>
      </c>
      <c r="C121" t="s">
        <v>97</v>
      </c>
    </row>
    <row r="122" spans="2:3" x14ac:dyDescent="0.3">
      <c r="B122" s="282">
        <v>2.1800000000000002</v>
      </c>
      <c r="C122" t="s">
        <v>97</v>
      </c>
    </row>
    <row r="123" spans="2:3" x14ac:dyDescent="0.3">
      <c r="B123" s="283">
        <v>2.19</v>
      </c>
      <c r="C123" t="s">
        <v>97</v>
      </c>
    </row>
    <row r="124" spans="2:3" x14ac:dyDescent="0.3">
      <c r="B124" s="282">
        <v>2.2000000000000002</v>
      </c>
      <c r="C124" t="s">
        <v>97</v>
      </c>
    </row>
    <row r="125" spans="2:3" x14ac:dyDescent="0.3">
      <c r="B125" s="283">
        <v>2.21</v>
      </c>
      <c r="C125" t="s">
        <v>97</v>
      </c>
    </row>
    <row r="126" spans="2:3" x14ac:dyDescent="0.3">
      <c r="B126" s="282">
        <v>2.2200000000000002</v>
      </c>
      <c r="C126" t="s">
        <v>97</v>
      </c>
    </row>
    <row r="127" spans="2:3" x14ac:dyDescent="0.3">
      <c r="B127" s="283">
        <v>2.23</v>
      </c>
      <c r="C127" t="s">
        <v>97</v>
      </c>
    </row>
    <row r="128" spans="2:3" x14ac:dyDescent="0.3">
      <c r="B128" s="282">
        <v>2.2400000000000002</v>
      </c>
      <c r="C128" t="s">
        <v>97</v>
      </c>
    </row>
    <row r="129" spans="2:3" x14ac:dyDescent="0.3">
      <c r="B129" s="283">
        <v>2.25</v>
      </c>
      <c r="C129" t="s">
        <v>97</v>
      </c>
    </row>
    <row r="130" spans="2:3" x14ac:dyDescent="0.3">
      <c r="B130" s="282">
        <v>2.2599999999999998</v>
      </c>
      <c r="C130" t="s">
        <v>97</v>
      </c>
    </row>
    <row r="131" spans="2:3" x14ac:dyDescent="0.3">
      <c r="B131" s="283">
        <v>2.27</v>
      </c>
      <c r="C131" t="s">
        <v>97</v>
      </c>
    </row>
    <row r="132" spans="2:3" x14ac:dyDescent="0.3">
      <c r="B132" s="282">
        <v>2.2799999999999998</v>
      </c>
      <c r="C132" t="s">
        <v>97</v>
      </c>
    </row>
    <row r="133" spans="2:3" x14ac:dyDescent="0.3">
      <c r="B133" s="283">
        <v>2.29</v>
      </c>
      <c r="C133" t="s">
        <v>97</v>
      </c>
    </row>
    <row r="134" spans="2:3" x14ac:dyDescent="0.3">
      <c r="B134" s="282">
        <v>2.2999999999999998</v>
      </c>
      <c r="C134" t="s">
        <v>97</v>
      </c>
    </row>
    <row r="135" spans="2:3" x14ac:dyDescent="0.3">
      <c r="B135" s="283">
        <v>2.31</v>
      </c>
      <c r="C135" t="s">
        <v>97</v>
      </c>
    </row>
    <row r="136" spans="2:3" x14ac:dyDescent="0.3">
      <c r="B136" s="282">
        <v>2.3199999999999998</v>
      </c>
      <c r="C136" t="s">
        <v>97</v>
      </c>
    </row>
    <row r="137" spans="2:3" x14ac:dyDescent="0.3">
      <c r="B137" s="283">
        <v>2.33</v>
      </c>
      <c r="C137" t="s">
        <v>97</v>
      </c>
    </row>
    <row r="138" spans="2:3" x14ac:dyDescent="0.3">
      <c r="B138" s="282">
        <v>2.34</v>
      </c>
      <c r="C138" t="s">
        <v>97</v>
      </c>
    </row>
    <row r="139" spans="2:3" x14ac:dyDescent="0.3">
      <c r="B139" s="283">
        <v>2.35</v>
      </c>
      <c r="C139" t="s">
        <v>97</v>
      </c>
    </row>
    <row r="140" spans="2:3" x14ac:dyDescent="0.3">
      <c r="B140" s="282">
        <v>2.36</v>
      </c>
      <c r="C140" t="s">
        <v>97</v>
      </c>
    </row>
    <row r="141" spans="2:3" x14ac:dyDescent="0.3">
      <c r="B141" s="283">
        <v>2.37</v>
      </c>
      <c r="C141" t="s">
        <v>97</v>
      </c>
    </row>
    <row r="142" spans="2:3" x14ac:dyDescent="0.3">
      <c r="B142" s="282">
        <v>2.38</v>
      </c>
      <c r="C142" t="s">
        <v>97</v>
      </c>
    </row>
    <row r="143" spans="2:3" x14ac:dyDescent="0.3">
      <c r="B143" s="283">
        <v>2.39</v>
      </c>
      <c r="C143" t="s">
        <v>97</v>
      </c>
    </row>
    <row r="144" spans="2:3" x14ac:dyDescent="0.3">
      <c r="B144" s="282">
        <v>2.4</v>
      </c>
      <c r="C144" t="s">
        <v>97</v>
      </c>
    </row>
    <row r="145" spans="2:3" x14ac:dyDescent="0.3">
      <c r="B145" s="283">
        <v>2.41</v>
      </c>
      <c r="C145" t="s">
        <v>97</v>
      </c>
    </row>
    <row r="146" spans="2:3" x14ac:dyDescent="0.3">
      <c r="B146" s="282">
        <v>2.42</v>
      </c>
      <c r="C146" t="s">
        <v>97</v>
      </c>
    </row>
    <row r="147" spans="2:3" x14ac:dyDescent="0.3">
      <c r="B147" s="283">
        <v>2.4300000000000002</v>
      </c>
      <c r="C147" t="s">
        <v>97</v>
      </c>
    </row>
    <row r="148" spans="2:3" x14ac:dyDescent="0.3">
      <c r="B148" s="282">
        <v>2.44</v>
      </c>
      <c r="C148" t="s">
        <v>97</v>
      </c>
    </row>
    <row r="149" spans="2:3" x14ac:dyDescent="0.3">
      <c r="B149" s="283">
        <v>2.4500000000000002</v>
      </c>
      <c r="C149" t="s">
        <v>97</v>
      </c>
    </row>
    <row r="150" spans="2:3" x14ac:dyDescent="0.3">
      <c r="B150" s="282">
        <v>2.46</v>
      </c>
      <c r="C150" t="s">
        <v>97</v>
      </c>
    </row>
    <row r="151" spans="2:3" x14ac:dyDescent="0.3">
      <c r="B151" s="283">
        <v>2.4700000000000002</v>
      </c>
      <c r="C151" t="s">
        <v>97</v>
      </c>
    </row>
    <row r="152" spans="2:3" x14ac:dyDescent="0.3">
      <c r="B152" s="282">
        <v>2.48</v>
      </c>
      <c r="C152" t="s">
        <v>97</v>
      </c>
    </row>
    <row r="153" spans="2:3" x14ac:dyDescent="0.3">
      <c r="B153" s="283">
        <v>2.4900000000000002</v>
      </c>
      <c r="C153" t="s">
        <v>97</v>
      </c>
    </row>
    <row r="154" spans="2:3" x14ac:dyDescent="0.3">
      <c r="B154" s="282">
        <v>2.5</v>
      </c>
      <c r="C154" t="s">
        <v>97</v>
      </c>
    </row>
    <row r="155" spans="2:3" x14ac:dyDescent="0.3">
      <c r="B155" s="283">
        <v>2.5099999999999998</v>
      </c>
      <c r="C155" t="s">
        <v>97</v>
      </c>
    </row>
    <row r="156" spans="2:3" x14ac:dyDescent="0.3">
      <c r="B156" s="282">
        <v>2.52</v>
      </c>
      <c r="C156" t="s">
        <v>97</v>
      </c>
    </row>
    <row r="157" spans="2:3" x14ac:dyDescent="0.3">
      <c r="B157" s="283">
        <v>2.5299999999999998</v>
      </c>
      <c r="C157" t="s">
        <v>97</v>
      </c>
    </row>
    <row r="158" spans="2:3" x14ac:dyDescent="0.3">
      <c r="B158" s="282">
        <v>2.54</v>
      </c>
      <c r="C158" t="s">
        <v>97</v>
      </c>
    </row>
    <row r="159" spans="2:3" x14ac:dyDescent="0.3">
      <c r="B159" s="283">
        <v>2.5499999999999998</v>
      </c>
      <c r="C159" t="s">
        <v>97</v>
      </c>
    </row>
    <row r="160" spans="2:3" x14ac:dyDescent="0.3">
      <c r="B160" s="282">
        <v>2.56</v>
      </c>
      <c r="C160" t="s">
        <v>97</v>
      </c>
    </row>
    <row r="161" spans="2:3" x14ac:dyDescent="0.3">
      <c r="B161" s="283">
        <v>2.57</v>
      </c>
      <c r="C161" t="s">
        <v>97</v>
      </c>
    </row>
    <row r="162" spans="2:3" x14ac:dyDescent="0.3">
      <c r="B162" s="282">
        <v>2.58</v>
      </c>
      <c r="C162" t="s">
        <v>97</v>
      </c>
    </row>
    <row r="163" spans="2:3" x14ac:dyDescent="0.3">
      <c r="B163" s="283">
        <v>2.59</v>
      </c>
      <c r="C163" t="s">
        <v>97</v>
      </c>
    </row>
    <row r="164" spans="2:3" x14ac:dyDescent="0.3">
      <c r="B164" s="282">
        <v>2.6</v>
      </c>
      <c r="C164" t="s">
        <v>97</v>
      </c>
    </row>
    <row r="165" spans="2:3" x14ac:dyDescent="0.3">
      <c r="B165" s="283">
        <v>2.61</v>
      </c>
      <c r="C165" t="s">
        <v>97</v>
      </c>
    </row>
    <row r="166" spans="2:3" x14ac:dyDescent="0.3">
      <c r="B166" s="282">
        <v>2.62</v>
      </c>
      <c r="C166" t="s">
        <v>97</v>
      </c>
    </row>
    <row r="167" spans="2:3" x14ac:dyDescent="0.3">
      <c r="B167" s="283">
        <v>2.63</v>
      </c>
      <c r="C167" t="s">
        <v>97</v>
      </c>
    </row>
    <row r="168" spans="2:3" x14ac:dyDescent="0.3">
      <c r="B168" s="282">
        <v>2.64</v>
      </c>
      <c r="C168" t="s">
        <v>97</v>
      </c>
    </row>
    <row r="169" spans="2:3" x14ac:dyDescent="0.3">
      <c r="B169" s="283">
        <v>2.65</v>
      </c>
      <c r="C169" t="s">
        <v>97</v>
      </c>
    </row>
    <row r="170" spans="2:3" x14ac:dyDescent="0.3">
      <c r="B170" s="282">
        <v>2.66</v>
      </c>
      <c r="C170" t="s">
        <v>97</v>
      </c>
    </row>
    <row r="171" spans="2:3" x14ac:dyDescent="0.3">
      <c r="B171" s="283">
        <v>2.67</v>
      </c>
      <c r="C171" t="s">
        <v>97</v>
      </c>
    </row>
    <row r="172" spans="2:3" x14ac:dyDescent="0.3">
      <c r="B172" s="282">
        <v>2.68</v>
      </c>
      <c r="C172" t="s">
        <v>97</v>
      </c>
    </row>
    <row r="173" spans="2:3" x14ac:dyDescent="0.3">
      <c r="B173" s="283">
        <v>2.69</v>
      </c>
      <c r="C173" t="s">
        <v>97</v>
      </c>
    </row>
    <row r="174" spans="2:3" x14ac:dyDescent="0.3">
      <c r="B174" s="282">
        <v>2.7</v>
      </c>
      <c r="C174" t="s">
        <v>97</v>
      </c>
    </row>
    <row r="175" spans="2:3" x14ac:dyDescent="0.3">
      <c r="B175" s="283">
        <v>2.71</v>
      </c>
      <c r="C175" t="s">
        <v>97</v>
      </c>
    </row>
    <row r="176" spans="2:3" x14ac:dyDescent="0.3">
      <c r="B176" s="282">
        <v>2.72</v>
      </c>
      <c r="C176" t="s">
        <v>97</v>
      </c>
    </row>
    <row r="177" spans="2:3" x14ac:dyDescent="0.3">
      <c r="B177" s="283">
        <v>2.73</v>
      </c>
      <c r="C177" t="s">
        <v>97</v>
      </c>
    </row>
    <row r="178" spans="2:3" x14ac:dyDescent="0.3">
      <c r="B178" s="282">
        <v>2.74</v>
      </c>
      <c r="C178" t="s">
        <v>97</v>
      </c>
    </row>
    <row r="179" spans="2:3" x14ac:dyDescent="0.3">
      <c r="B179" s="283">
        <v>2.75</v>
      </c>
      <c r="C179" t="s">
        <v>97</v>
      </c>
    </row>
    <row r="180" spans="2:3" x14ac:dyDescent="0.3">
      <c r="B180" s="282">
        <v>2.76</v>
      </c>
      <c r="C180" t="s">
        <v>97</v>
      </c>
    </row>
    <row r="181" spans="2:3" x14ac:dyDescent="0.3">
      <c r="B181" s="283">
        <v>2.77</v>
      </c>
      <c r="C181" t="s">
        <v>97</v>
      </c>
    </row>
    <row r="182" spans="2:3" x14ac:dyDescent="0.3">
      <c r="B182" s="282">
        <v>2.78</v>
      </c>
      <c r="C182" t="s">
        <v>97</v>
      </c>
    </row>
    <row r="183" spans="2:3" x14ac:dyDescent="0.3">
      <c r="B183" s="283">
        <v>2.79</v>
      </c>
      <c r="C183" t="s">
        <v>97</v>
      </c>
    </row>
    <row r="184" spans="2:3" x14ac:dyDescent="0.3">
      <c r="B184" s="282">
        <v>2.8</v>
      </c>
      <c r="C184" t="s">
        <v>97</v>
      </c>
    </row>
    <row r="185" spans="2:3" x14ac:dyDescent="0.3">
      <c r="B185" s="283">
        <v>2.81</v>
      </c>
      <c r="C185" t="s">
        <v>97</v>
      </c>
    </row>
    <row r="186" spans="2:3" x14ac:dyDescent="0.3">
      <c r="B186" s="282">
        <v>2.82</v>
      </c>
      <c r="C186" t="s">
        <v>97</v>
      </c>
    </row>
    <row r="187" spans="2:3" x14ac:dyDescent="0.3">
      <c r="B187" s="283">
        <v>2.83</v>
      </c>
      <c r="C187" t="s">
        <v>97</v>
      </c>
    </row>
    <row r="188" spans="2:3" x14ac:dyDescent="0.3">
      <c r="B188" s="282">
        <v>2.84</v>
      </c>
      <c r="C188" t="s">
        <v>97</v>
      </c>
    </row>
    <row r="189" spans="2:3" x14ac:dyDescent="0.3">
      <c r="B189" s="283">
        <v>2.85</v>
      </c>
      <c r="C189" t="s">
        <v>97</v>
      </c>
    </row>
    <row r="190" spans="2:3" x14ac:dyDescent="0.3">
      <c r="B190" s="282">
        <v>2.86</v>
      </c>
      <c r="C190" t="s">
        <v>97</v>
      </c>
    </row>
    <row r="191" spans="2:3" x14ac:dyDescent="0.3">
      <c r="B191" s="283">
        <v>2.87</v>
      </c>
      <c r="C191" t="s">
        <v>97</v>
      </c>
    </row>
    <row r="192" spans="2:3" x14ac:dyDescent="0.3">
      <c r="B192" s="282">
        <v>2.88</v>
      </c>
      <c r="C192" t="s">
        <v>97</v>
      </c>
    </row>
    <row r="193" spans="2:3" x14ac:dyDescent="0.3">
      <c r="B193" s="283">
        <v>2.89</v>
      </c>
      <c r="C193" t="s">
        <v>97</v>
      </c>
    </row>
    <row r="194" spans="2:3" x14ac:dyDescent="0.3">
      <c r="B194" s="282">
        <v>2.9</v>
      </c>
      <c r="C194" t="s">
        <v>97</v>
      </c>
    </row>
    <row r="195" spans="2:3" x14ac:dyDescent="0.3">
      <c r="B195" s="283">
        <v>2.91</v>
      </c>
      <c r="C195" t="s">
        <v>97</v>
      </c>
    </row>
    <row r="196" spans="2:3" x14ac:dyDescent="0.3">
      <c r="B196" s="282">
        <v>2.92</v>
      </c>
      <c r="C196" t="s">
        <v>97</v>
      </c>
    </row>
    <row r="197" spans="2:3" x14ac:dyDescent="0.3">
      <c r="B197" s="283">
        <v>2.93</v>
      </c>
      <c r="C197" t="s">
        <v>97</v>
      </c>
    </row>
    <row r="198" spans="2:3" x14ac:dyDescent="0.3">
      <c r="B198" s="282">
        <v>2.94</v>
      </c>
      <c r="C198" t="s">
        <v>97</v>
      </c>
    </row>
    <row r="199" spans="2:3" x14ac:dyDescent="0.3">
      <c r="B199" s="283">
        <v>2.95</v>
      </c>
      <c r="C199" t="s">
        <v>97</v>
      </c>
    </row>
    <row r="200" spans="2:3" x14ac:dyDescent="0.3">
      <c r="B200" s="282">
        <v>2.96</v>
      </c>
      <c r="C200" t="s">
        <v>97</v>
      </c>
    </row>
    <row r="201" spans="2:3" x14ac:dyDescent="0.3">
      <c r="B201" s="283">
        <v>2.97</v>
      </c>
      <c r="C201" t="s">
        <v>97</v>
      </c>
    </row>
    <row r="202" spans="2:3" x14ac:dyDescent="0.3">
      <c r="B202" s="282">
        <v>2.98</v>
      </c>
      <c r="C202" t="s">
        <v>97</v>
      </c>
    </row>
    <row r="203" spans="2:3" x14ac:dyDescent="0.3">
      <c r="B203" s="283">
        <v>2.99</v>
      </c>
      <c r="C203" t="s">
        <v>97</v>
      </c>
    </row>
    <row r="204" spans="2:3" x14ac:dyDescent="0.3">
      <c r="B204" s="282">
        <v>3</v>
      </c>
      <c r="C204" t="s">
        <v>97</v>
      </c>
    </row>
    <row r="205" spans="2:3" x14ac:dyDescent="0.3">
      <c r="B205" s="283">
        <v>3.01</v>
      </c>
      <c r="C205" t="s">
        <v>97</v>
      </c>
    </row>
    <row r="206" spans="2:3" x14ac:dyDescent="0.3">
      <c r="B206" s="282">
        <v>3.02</v>
      </c>
      <c r="C206" t="s">
        <v>97</v>
      </c>
    </row>
    <row r="207" spans="2:3" x14ac:dyDescent="0.3">
      <c r="B207" s="283">
        <v>3.03</v>
      </c>
      <c r="C207" t="s">
        <v>97</v>
      </c>
    </row>
    <row r="208" spans="2:3" x14ac:dyDescent="0.3">
      <c r="B208" s="282">
        <v>3.04</v>
      </c>
      <c r="C208" t="s">
        <v>97</v>
      </c>
    </row>
    <row r="209" spans="2:3" x14ac:dyDescent="0.3">
      <c r="B209" s="283">
        <v>3.05</v>
      </c>
      <c r="C209" t="s">
        <v>97</v>
      </c>
    </row>
    <row r="210" spans="2:3" x14ac:dyDescent="0.3">
      <c r="B210" s="282">
        <v>3.06</v>
      </c>
      <c r="C210" t="s">
        <v>97</v>
      </c>
    </row>
    <row r="211" spans="2:3" x14ac:dyDescent="0.3">
      <c r="B211" s="283">
        <v>3.07</v>
      </c>
      <c r="C211" t="s">
        <v>97</v>
      </c>
    </row>
    <row r="212" spans="2:3" x14ac:dyDescent="0.3">
      <c r="B212" s="282">
        <v>3.08</v>
      </c>
      <c r="C212" t="s">
        <v>97</v>
      </c>
    </row>
    <row r="213" spans="2:3" x14ac:dyDescent="0.3">
      <c r="B213" s="283">
        <v>3.09</v>
      </c>
      <c r="C213" t="s">
        <v>97</v>
      </c>
    </row>
    <row r="214" spans="2:3" x14ac:dyDescent="0.3">
      <c r="B214" s="282">
        <v>3.1</v>
      </c>
      <c r="C214" t="s">
        <v>97</v>
      </c>
    </row>
    <row r="215" spans="2:3" x14ac:dyDescent="0.3">
      <c r="B215" s="283">
        <v>3.11</v>
      </c>
      <c r="C215" t="s">
        <v>97</v>
      </c>
    </row>
    <row r="216" spans="2:3" x14ac:dyDescent="0.3">
      <c r="B216" s="282">
        <v>3.12</v>
      </c>
      <c r="C216" t="s">
        <v>97</v>
      </c>
    </row>
    <row r="217" spans="2:3" x14ac:dyDescent="0.3">
      <c r="B217" s="283">
        <v>3.13</v>
      </c>
      <c r="C217" t="s">
        <v>97</v>
      </c>
    </row>
    <row r="218" spans="2:3" x14ac:dyDescent="0.3">
      <c r="B218" s="282">
        <v>3.14</v>
      </c>
      <c r="C218" t="s">
        <v>97</v>
      </c>
    </row>
    <row r="219" spans="2:3" x14ac:dyDescent="0.3">
      <c r="B219" s="283">
        <v>3.15</v>
      </c>
      <c r="C219" t="s">
        <v>97</v>
      </c>
    </row>
    <row r="220" spans="2:3" x14ac:dyDescent="0.3">
      <c r="B220" s="282">
        <v>3.16</v>
      </c>
      <c r="C220" t="s">
        <v>97</v>
      </c>
    </row>
    <row r="221" spans="2:3" x14ac:dyDescent="0.3">
      <c r="B221" s="283">
        <v>3.17</v>
      </c>
      <c r="C221" t="s">
        <v>97</v>
      </c>
    </row>
    <row r="222" spans="2:3" x14ac:dyDescent="0.3">
      <c r="B222" s="282">
        <v>3.18</v>
      </c>
      <c r="C222" t="s">
        <v>97</v>
      </c>
    </row>
    <row r="223" spans="2:3" x14ac:dyDescent="0.3">
      <c r="B223" s="283">
        <v>3.19</v>
      </c>
      <c r="C223" t="s">
        <v>97</v>
      </c>
    </row>
    <row r="224" spans="2:3" x14ac:dyDescent="0.3">
      <c r="B224" s="282">
        <v>3.2</v>
      </c>
      <c r="C224" t="s">
        <v>97</v>
      </c>
    </row>
    <row r="225" spans="2:3" x14ac:dyDescent="0.3">
      <c r="B225" s="283">
        <v>3.21</v>
      </c>
      <c r="C225" t="s">
        <v>97</v>
      </c>
    </row>
    <row r="226" spans="2:3" x14ac:dyDescent="0.3">
      <c r="B226" s="282">
        <v>3.22</v>
      </c>
      <c r="C226" t="s">
        <v>97</v>
      </c>
    </row>
    <row r="227" spans="2:3" x14ac:dyDescent="0.3">
      <c r="B227" s="283">
        <v>3.23</v>
      </c>
      <c r="C227" t="s">
        <v>97</v>
      </c>
    </row>
    <row r="228" spans="2:3" x14ac:dyDescent="0.3">
      <c r="B228" s="282">
        <v>3.24</v>
      </c>
      <c r="C228" t="s">
        <v>97</v>
      </c>
    </row>
    <row r="229" spans="2:3" x14ac:dyDescent="0.3">
      <c r="B229" s="283">
        <v>3.25</v>
      </c>
      <c r="C229" t="s">
        <v>97</v>
      </c>
    </row>
    <row r="230" spans="2:3" x14ac:dyDescent="0.3">
      <c r="B230" s="282">
        <v>3.26</v>
      </c>
      <c r="C230" t="s">
        <v>97</v>
      </c>
    </row>
    <row r="231" spans="2:3" x14ac:dyDescent="0.3">
      <c r="B231" s="283">
        <v>3.27</v>
      </c>
      <c r="C231" t="s">
        <v>97</v>
      </c>
    </row>
    <row r="232" spans="2:3" x14ac:dyDescent="0.3">
      <c r="B232" s="282">
        <v>3.28</v>
      </c>
      <c r="C232" t="s">
        <v>97</v>
      </c>
    </row>
    <row r="233" spans="2:3" x14ac:dyDescent="0.3">
      <c r="B233" s="283">
        <v>3.29</v>
      </c>
      <c r="C233" t="s">
        <v>97</v>
      </c>
    </row>
    <row r="234" spans="2:3" x14ac:dyDescent="0.3">
      <c r="B234" s="282">
        <v>3.3</v>
      </c>
      <c r="C234" t="s">
        <v>97</v>
      </c>
    </row>
    <row r="235" spans="2:3" x14ac:dyDescent="0.3">
      <c r="B235" s="283">
        <v>3.31</v>
      </c>
      <c r="C235" t="s">
        <v>97</v>
      </c>
    </row>
    <row r="236" spans="2:3" x14ac:dyDescent="0.3">
      <c r="B236" s="282">
        <v>3.32</v>
      </c>
      <c r="C236" t="s">
        <v>97</v>
      </c>
    </row>
    <row r="237" spans="2:3" x14ac:dyDescent="0.3">
      <c r="B237" s="283">
        <v>3.33</v>
      </c>
      <c r="C237" t="s">
        <v>97</v>
      </c>
    </row>
    <row r="238" spans="2:3" x14ac:dyDescent="0.3">
      <c r="B238" s="282">
        <v>3.34</v>
      </c>
      <c r="C238" t="s">
        <v>97</v>
      </c>
    </row>
    <row r="239" spans="2:3" x14ac:dyDescent="0.3">
      <c r="B239" s="283">
        <v>3.35</v>
      </c>
      <c r="C239" t="s">
        <v>97</v>
      </c>
    </row>
    <row r="240" spans="2:3" x14ac:dyDescent="0.3">
      <c r="B240" s="282">
        <v>3.36</v>
      </c>
      <c r="C240" t="s">
        <v>97</v>
      </c>
    </row>
    <row r="241" spans="2:3" x14ac:dyDescent="0.3">
      <c r="B241" s="283">
        <v>3.37</v>
      </c>
      <c r="C241" t="s">
        <v>97</v>
      </c>
    </row>
    <row r="242" spans="2:3" x14ac:dyDescent="0.3">
      <c r="B242" s="282">
        <v>3.38</v>
      </c>
      <c r="C242" t="s">
        <v>97</v>
      </c>
    </row>
    <row r="243" spans="2:3" x14ac:dyDescent="0.3">
      <c r="B243" s="283">
        <v>3.39</v>
      </c>
      <c r="C243" t="s">
        <v>97</v>
      </c>
    </row>
    <row r="244" spans="2:3" x14ac:dyDescent="0.3">
      <c r="B244" s="282">
        <v>3.4</v>
      </c>
      <c r="C244" t="s">
        <v>97</v>
      </c>
    </row>
    <row r="245" spans="2:3" x14ac:dyDescent="0.3">
      <c r="B245" s="283">
        <v>3.41</v>
      </c>
      <c r="C245" t="s">
        <v>97</v>
      </c>
    </row>
    <row r="246" spans="2:3" x14ac:dyDescent="0.3">
      <c r="B246" s="282">
        <v>3.42</v>
      </c>
      <c r="C246" t="s">
        <v>97</v>
      </c>
    </row>
    <row r="247" spans="2:3" x14ac:dyDescent="0.3">
      <c r="B247" s="283">
        <v>3.43</v>
      </c>
      <c r="C247" t="s">
        <v>97</v>
      </c>
    </row>
    <row r="248" spans="2:3" x14ac:dyDescent="0.3">
      <c r="B248" s="282">
        <v>3.44</v>
      </c>
      <c r="C248" t="s">
        <v>97</v>
      </c>
    </row>
    <row r="249" spans="2:3" x14ac:dyDescent="0.3">
      <c r="B249" s="283">
        <v>3.45</v>
      </c>
      <c r="C249" t="s">
        <v>97</v>
      </c>
    </row>
    <row r="250" spans="2:3" x14ac:dyDescent="0.3">
      <c r="B250" s="282">
        <v>3.46</v>
      </c>
      <c r="C250" t="s">
        <v>97</v>
      </c>
    </row>
    <row r="251" spans="2:3" x14ac:dyDescent="0.3">
      <c r="B251" s="283">
        <v>3.47</v>
      </c>
      <c r="C251" t="s">
        <v>97</v>
      </c>
    </row>
    <row r="252" spans="2:3" x14ac:dyDescent="0.3">
      <c r="B252" s="282">
        <v>3.48</v>
      </c>
      <c r="C252" t="s">
        <v>97</v>
      </c>
    </row>
    <row r="253" spans="2:3" x14ac:dyDescent="0.3">
      <c r="B253" s="283">
        <v>3.49</v>
      </c>
      <c r="C253" t="s">
        <v>97</v>
      </c>
    </row>
    <row r="254" spans="2:3" x14ac:dyDescent="0.3">
      <c r="B254" s="282">
        <v>3.5</v>
      </c>
      <c r="C254" t="s">
        <v>97</v>
      </c>
    </row>
    <row r="255" spans="2:3" x14ac:dyDescent="0.3">
      <c r="B255" s="283">
        <v>3.51</v>
      </c>
      <c r="C255" t="s">
        <v>97</v>
      </c>
    </row>
    <row r="256" spans="2:3" x14ac:dyDescent="0.3">
      <c r="B256" s="282">
        <v>3.52</v>
      </c>
      <c r="C256" t="s">
        <v>97</v>
      </c>
    </row>
    <row r="257" spans="2:3" x14ac:dyDescent="0.3">
      <c r="B257" s="283">
        <v>3.53</v>
      </c>
      <c r="C257" t="s">
        <v>97</v>
      </c>
    </row>
    <row r="258" spans="2:3" x14ac:dyDescent="0.3">
      <c r="B258" s="282">
        <v>3.54</v>
      </c>
      <c r="C258" t="s">
        <v>97</v>
      </c>
    </row>
    <row r="259" spans="2:3" x14ac:dyDescent="0.3">
      <c r="B259" s="283">
        <v>3.55</v>
      </c>
      <c r="C259" t="s">
        <v>97</v>
      </c>
    </row>
    <row r="260" spans="2:3" x14ac:dyDescent="0.3">
      <c r="B260" s="282">
        <v>3.56</v>
      </c>
      <c r="C260" t="s">
        <v>97</v>
      </c>
    </row>
    <row r="261" spans="2:3" x14ac:dyDescent="0.3">
      <c r="B261" s="283">
        <v>3.57</v>
      </c>
      <c r="C261" t="s">
        <v>97</v>
      </c>
    </row>
    <row r="262" spans="2:3" x14ac:dyDescent="0.3">
      <c r="B262" s="282">
        <v>3.58</v>
      </c>
      <c r="C262" t="s">
        <v>97</v>
      </c>
    </row>
    <row r="263" spans="2:3" x14ac:dyDescent="0.3">
      <c r="B263" s="283">
        <v>3.59</v>
      </c>
      <c r="C263" t="s">
        <v>97</v>
      </c>
    </row>
    <row r="264" spans="2:3" x14ac:dyDescent="0.3">
      <c r="B264" s="282">
        <v>3.6</v>
      </c>
      <c r="C264" t="s">
        <v>97</v>
      </c>
    </row>
    <row r="265" spans="2:3" x14ac:dyDescent="0.3">
      <c r="B265" s="283">
        <v>3.61</v>
      </c>
      <c r="C265" t="s">
        <v>97</v>
      </c>
    </row>
    <row r="266" spans="2:3" x14ac:dyDescent="0.3">
      <c r="B266" s="282">
        <v>3.62</v>
      </c>
      <c r="C266" t="s">
        <v>97</v>
      </c>
    </row>
    <row r="267" spans="2:3" x14ac:dyDescent="0.3">
      <c r="B267" s="283">
        <v>3.63</v>
      </c>
      <c r="C267" t="s">
        <v>97</v>
      </c>
    </row>
    <row r="268" spans="2:3" x14ac:dyDescent="0.3">
      <c r="B268" s="282">
        <v>3.64</v>
      </c>
      <c r="C268" t="s">
        <v>97</v>
      </c>
    </row>
    <row r="269" spans="2:3" x14ac:dyDescent="0.3">
      <c r="B269" s="283">
        <v>3.65</v>
      </c>
      <c r="C269" t="s">
        <v>97</v>
      </c>
    </row>
    <row r="270" spans="2:3" x14ac:dyDescent="0.3">
      <c r="B270" s="282">
        <v>3.66</v>
      </c>
      <c r="C270" t="s">
        <v>97</v>
      </c>
    </row>
    <row r="271" spans="2:3" x14ac:dyDescent="0.3">
      <c r="B271" s="283">
        <v>3.67</v>
      </c>
      <c r="C271" t="s">
        <v>97</v>
      </c>
    </row>
    <row r="272" spans="2:3" x14ac:dyDescent="0.3">
      <c r="B272" s="282">
        <v>3.68</v>
      </c>
      <c r="C272" t="s">
        <v>97</v>
      </c>
    </row>
    <row r="273" spans="2:3" x14ac:dyDescent="0.3">
      <c r="B273" s="283">
        <v>3.69</v>
      </c>
      <c r="C273" t="s">
        <v>97</v>
      </c>
    </row>
    <row r="274" spans="2:3" x14ac:dyDescent="0.3">
      <c r="B274" s="282">
        <v>3.7</v>
      </c>
      <c r="C274" t="s">
        <v>97</v>
      </c>
    </row>
    <row r="275" spans="2:3" x14ac:dyDescent="0.3">
      <c r="B275" s="283">
        <v>3.71</v>
      </c>
      <c r="C275" t="s">
        <v>97</v>
      </c>
    </row>
    <row r="276" spans="2:3" x14ac:dyDescent="0.3">
      <c r="B276" s="282">
        <v>3.72</v>
      </c>
      <c r="C276" t="s">
        <v>97</v>
      </c>
    </row>
    <row r="277" spans="2:3" x14ac:dyDescent="0.3">
      <c r="B277" s="283">
        <v>3.73</v>
      </c>
      <c r="C277" t="s">
        <v>97</v>
      </c>
    </row>
    <row r="278" spans="2:3" x14ac:dyDescent="0.3">
      <c r="B278" s="282">
        <v>3.74</v>
      </c>
      <c r="C278" t="s">
        <v>97</v>
      </c>
    </row>
    <row r="279" spans="2:3" x14ac:dyDescent="0.3">
      <c r="B279" s="283">
        <v>3.75</v>
      </c>
      <c r="C279" t="s">
        <v>283</v>
      </c>
    </row>
    <row r="280" spans="2:3" x14ac:dyDescent="0.3">
      <c r="B280" s="282">
        <v>3.76</v>
      </c>
      <c r="C280" t="s">
        <v>283</v>
      </c>
    </row>
    <row r="281" spans="2:3" x14ac:dyDescent="0.3">
      <c r="B281" s="283">
        <v>3.77</v>
      </c>
      <c r="C281" t="s">
        <v>283</v>
      </c>
    </row>
    <row r="282" spans="2:3" x14ac:dyDescent="0.3">
      <c r="B282" s="282">
        <v>3.78</v>
      </c>
      <c r="C282" t="s">
        <v>283</v>
      </c>
    </row>
    <row r="283" spans="2:3" x14ac:dyDescent="0.3">
      <c r="B283" s="283">
        <v>3.79</v>
      </c>
      <c r="C283" t="s">
        <v>283</v>
      </c>
    </row>
    <row r="284" spans="2:3" x14ac:dyDescent="0.3">
      <c r="B284" s="282">
        <v>3.8</v>
      </c>
      <c r="C284" t="s">
        <v>283</v>
      </c>
    </row>
    <row r="285" spans="2:3" x14ac:dyDescent="0.3">
      <c r="B285" s="283">
        <v>3.81</v>
      </c>
      <c r="C285" t="s">
        <v>283</v>
      </c>
    </row>
    <row r="286" spans="2:3" x14ac:dyDescent="0.3">
      <c r="B286" s="282">
        <v>3.82</v>
      </c>
      <c r="C286" t="s">
        <v>283</v>
      </c>
    </row>
    <row r="287" spans="2:3" x14ac:dyDescent="0.3">
      <c r="B287" s="283">
        <v>3.83</v>
      </c>
      <c r="C287" t="s">
        <v>283</v>
      </c>
    </row>
    <row r="288" spans="2:3" x14ac:dyDescent="0.3">
      <c r="B288" s="282">
        <v>3.84</v>
      </c>
      <c r="C288" t="s">
        <v>283</v>
      </c>
    </row>
    <row r="289" spans="2:3" x14ac:dyDescent="0.3">
      <c r="B289" s="283">
        <v>3.85</v>
      </c>
      <c r="C289" t="s">
        <v>283</v>
      </c>
    </row>
    <row r="290" spans="2:3" x14ac:dyDescent="0.3">
      <c r="B290" s="282">
        <v>3.86</v>
      </c>
      <c r="C290" t="s">
        <v>283</v>
      </c>
    </row>
    <row r="291" spans="2:3" x14ac:dyDescent="0.3">
      <c r="B291" s="283">
        <v>3.87</v>
      </c>
      <c r="C291" t="s">
        <v>283</v>
      </c>
    </row>
    <row r="292" spans="2:3" x14ac:dyDescent="0.3">
      <c r="B292" s="282">
        <v>3.88</v>
      </c>
      <c r="C292" t="s">
        <v>283</v>
      </c>
    </row>
    <row r="293" spans="2:3" x14ac:dyDescent="0.3">
      <c r="B293" s="283">
        <v>3.89</v>
      </c>
      <c r="C293" t="s">
        <v>283</v>
      </c>
    </row>
    <row r="294" spans="2:3" x14ac:dyDescent="0.3">
      <c r="B294" s="282">
        <v>3.9</v>
      </c>
      <c r="C294" t="s">
        <v>283</v>
      </c>
    </row>
    <row r="295" spans="2:3" x14ac:dyDescent="0.3">
      <c r="B295" s="283">
        <v>3.91</v>
      </c>
      <c r="C295" t="s">
        <v>283</v>
      </c>
    </row>
    <row r="296" spans="2:3" x14ac:dyDescent="0.3">
      <c r="B296" s="282">
        <v>3.92</v>
      </c>
      <c r="C296" t="s">
        <v>283</v>
      </c>
    </row>
    <row r="297" spans="2:3" x14ac:dyDescent="0.3">
      <c r="B297" s="283">
        <v>3.93</v>
      </c>
      <c r="C297" t="s">
        <v>283</v>
      </c>
    </row>
    <row r="298" spans="2:3" x14ac:dyDescent="0.3">
      <c r="B298" s="282">
        <v>3.94</v>
      </c>
      <c r="C298" t="s">
        <v>283</v>
      </c>
    </row>
    <row r="299" spans="2:3" x14ac:dyDescent="0.3">
      <c r="B299" s="283">
        <v>3.95</v>
      </c>
      <c r="C299" t="s">
        <v>283</v>
      </c>
    </row>
    <row r="300" spans="2:3" x14ac:dyDescent="0.3">
      <c r="B300" s="282">
        <v>3.96</v>
      </c>
      <c r="C300" t="s">
        <v>283</v>
      </c>
    </row>
    <row r="301" spans="2:3" x14ac:dyDescent="0.3">
      <c r="B301" s="283">
        <v>3.97</v>
      </c>
      <c r="C301" t="s">
        <v>283</v>
      </c>
    </row>
    <row r="302" spans="2:3" x14ac:dyDescent="0.3">
      <c r="B302" s="282">
        <v>3.98</v>
      </c>
      <c r="C302" t="s">
        <v>283</v>
      </c>
    </row>
    <row r="303" spans="2:3" x14ac:dyDescent="0.3">
      <c r="B303" s="283">
        <v>3.99</v>
      </c>
      <c r="C303" t="s">
        <v>283</v>
      </c>
    </row>
    <row r="304" spans="2:3" x14ac:dyDescent="0.3">
      <c r="B304" s="282">
        <v>4</v>
      </c>
      <c r="C304" t="s">
        <v>283</v>
      </c>
    </row>
    <row r="305" spans="2:3" x14ac:dyDescent="0.3">
      <c r="B305" s="283">
        <v>4.01</v>
      </c>
      <c r="C305" t="s">
        <v>283</v>
      </c>
    </row>
    <row r="306" spans="2:3" x14ac:dyDescent="0.3">
      <c r="B306" s="282">
        <v>4.0199999999999996</v>
      </c>
      <c r="C306" t="s">
        <v>283</v>
      </c>
    </row>
    <row r="307" spans="2:3" x14ac:dyDescent="0.3">
      <c r="B307" s="283">
        <v>4.03</v>
      </c>
      <c r="C307" t="s">
        <v>283</v>
      </c>
    </row>
    <row r="308" spans="2:3" x14ac:dyDescent="0.3">
      <c r="B308" s="282">
        <v>4.04</v>
      </c>
      <c r="C308" t="s">
        <v>283</v>
      </c>
    </row>
    <row r="309" spans="2:3" x14ac:dyDescent="0.3">
      <c r="B309" s="283">
        <v>4.05</v>
      </c>
      <c r="C309" t="s">
        <v>283</v>
      </c>
    </row>
    <row r="310" spans="2:3" x14ac:dyDescent="0.3">
      <c r="B310" s="282">
        <v>4.0599999999999996</v>
      </c>
      <c r="C310" t="s">
        <v>283</v>
      </c>
    </row>
    <row r="311" spans="2:3" x14ac:dyDescent="0.3">
      <c r="B311" s="283">
        <v>4.07</v>
      </c>
      <c r="C311" t="s">
        <v>283</v>
      </c>
    </row>
    <row r="312" spans="2:3" x14ac:dyDescent="0.3">
      <c r="B312" s="282">
        <v>4.08</v>
      </c>
      <c r="C312" t="s">
        <v>283</v>
      </c>
    </row>
    <row r="313" spans="2:3" x14ac:dyDescent="0.3">
      <c r="B313" s="283">
        <v>4.09</v>
      </c>
      <c r="C313" t="s">
        <v>283</v>
      </c>
    </row>
    <row r="314" spans="2:3" x14ac:dyDescent="0.3">
      <c r="B314" s="282">
        <v>4.0999999999999996</v>
      </c>
      <c r="C314" t="s">
        <v>283</v>
      </c>
    </row>
    <row r="315" spans="2:3" x14ac:dyDescent="0.3">
      <c r="B315" s="283">
        <v>4.1100000000000003</v>
      </c>
      <c r="C315" t="s">
        <v>283</v>
      </c>
    </row>
    <row r="316" spans="2:3" x14ac:dyDescent="0.3">
      <c r="B316" s="282">
        <v>4.12</v>
      </c>
      <c r="C316" t="s">
        <v>283</v>
      </c>
    </row>
    <row r="317" spans="2:3" x14ac:dyDescent="0.3">
      <c r="B317" s="283">
        <v>4.13</v>
      </c>
      <c r="C317" t="s">
        <v>283</v>
      </c>
    </row>
    <row r="318" spans="2:3" x14ac:dyDescent="0.3">
      <c r="B318" s="282">
        <v>4.1399999999999997</v>
      </c>
      <c r="C318" t="s">
        <v>283</v>
      </c>
    </row>
    <row r="319" spans="2:3" x14ac:dyDescent="0.3">
      <c r="B319" s="283">
        <v>4.1500000000000004</v>
      </c>
      <c r="C319" t="s">
        <v>283</v>
      </c>
    </row>
    <row r="320" spans="2:3" x14ac:dyDescent="0.3">
      <c r="B320" s="282">
        <v>4.16</v>
      </c>
      <c r="C320" t="s">
        <v>283</v>
      </c>
    </row>
    <row r="321" spans="2:3" x14ac:dyDescent="0.3">
      <c r="B321" s="283">
        <v>4.17</v>
      </c>
      <c r="C321" t="s">
        <v>283</v>
      </c>
    </row>
    <row r="322" spans="2:3" x14ac:dyDescent="0.3">
      <c r="B322" s="282">
        <v>4.18</v>
      </c>
      <c r="C322" t="s">
        <v>283</v>
      </c>
    </row>
    <row r="323" spans="2:3" x14ac:dyDescent="0.3">
      <c r="B323" s="283">
        <v>4.1900000000000004</v>
      </c>
      <c r="C323" t="s">
        <v>283</v>
      </c>
    </row>
    <row r="324" spans="2:3" x14ac:dyDescent="0.3">
      <c r="B324" s="282">
        <v>4.2</v>
      </c>
      <c r="C324" t="s">
        <v>283</v>
      </c>
    </row>
    <row r="325" spans="2:3" x14ac:dyDescent="0.3">
      <c r="B325" s="283">
        <v>4.21</v>
      </c>
      <c r="C325" t="s">
        <v>283</v>
      </c>
    </row>
    <row r="326" spans="2:3" x14ac:dyDescent="0.3">
      <c r="B326" s="282">
        <v>4.22</v>
      </c>
      <c r="C326" t="s">
        <v>283</v>
      </c>
    </row>
    <row r="327" spans="2:3" x14ac:dyDescent="0.3">
      <c r="B327" s="283">
        <v>4.2300000000000004</v>
      </c>
      <c r="C327" t="s">
        <v>283</v>
      </c>
    </row>
    <row r="328" spans="2:3" x14ac:dyDescent="0.3">
      <c r="B328" s="282">
        <v>4.24</v>
      </c>
      <c r="C328" t="s">
        <v>283</v>
      </c>
    </row>
    <row r="329" spans="2:3" x14ac:dyDescent="0.3">
      <c r="B329" s="283">
        <v>4.25</v>
      </c>
      <c r="C329" t="s">
        <v>283</v>
      </c>
    </row>
    <row r="330" spans="2:3" x14ac:dyDescent="0.3">
      <c r="B330" s="282">
        <v>4.26</v>
      </c>
      <c r="C330" t="s">
        <v>283</v>
      </c>
    </row>
    <row r="331" spans="2:3" x14ac:dyDescent="0.3">
      <c r="B331" s="283">
        <v>4.2699999999999996</v>
      </c>
      <c r="C331" t="s">
        <v>283</v>
      </c>
    </row>
    <row r="332" spans="2:3" x14ac:dyDescent="0.3">
      <c r="B332" s="282">
        <v>4.28</v>
      </c>
      <c r="C332" t="s">
        <v>283</v>
      </c>
    </row>
    <row r="333" spans="2:3" x14ac:dyDescent="0.3">
      <c r="B333" s="283">
        <v>4.29</v>
      </c>
      <c r="C333" t="s">
        <v>283</v>
      </c>
    </row>
    <row r="334" spans="2:3" x14ac:dyDescent="0.3">
      <c r="B334" s="282">
        <v>4.3</v>
      </c>
      <c r="C334" t="s">
        <v>283</v>
      </c>
    </row>
    <row r="335" spans="2:3" x14ac:dyDescent="0.3">
      <c r="B335" s="283">
        <v>4.3099999999999996</v>
      </c>
      <c r="C335" t="s">
        <v>283</v>
      </c>
    </row>
    <row r="336" spans="2:3" x14ac:dyDescent="0.3">
      <c r="B336" s="282">
        <v>4.32</v>
      </c>
      <c r="C336" t="s">
        <v>283</v>
      </c>
    </row>
    <row r="337" spans="2:3" x14ac:dyDescent="0.3">
      <c r="B337" s="283">
        <v>4.33</v>
      </c>
      <c r="C337" t="s">
        <v>283</v>
      </c>
    </row>
    <row r="338" spans="2:3" x14ac:dyDescent="0.3">
      <c r="B338" s="282">
        <v>4.34</v>
      </c>
      <c r="C338" t="s">
        <v>283</v>
      </c>
    </row>
    <row r="339" spans="2:3" x14ac:dyDescent="0.3">
      <c r="B339" s="283">
        <v>4.3499999999999996</v>
      </c>
      <c r="C339" t="s">
        <v>283</v>
      </c>
    </row>
    <row r="340" spans="2:3" x14ac:dyDescent="0.3">
      <c r="B340" s="282">
        <v>4.3600000000000003</v>
      </c>
      <c r="C340" t="s">
        <v>283</v>
      </c>
    </row>
    <row r="341" spans="2:3" x14ac:dyDescent="0.3">
      <c r="B341" s="283">
        <v>4.37</v>
      </c>
      <c r="C341" t="s">
        <v>283</v>
      </c>
    </row>
    <row r="342" spans="2:3" x14ac:dyDescent="0.3">
      <c r="B342" s="282">
        <v>4.38</v>
      </c>
      <c r="C342" t="s">
        <v>283</v>
      </c>
    </row>
    <row r="343" spans="2:3" x14ac:dyDescent="0.3">
      <c r="B343" s="283">
        <v>4.3899999999999997</v>
      </c>
      <c r="C343" t="s">
        <v>283</v>
      </c>
    </row>
    <row r="344" spans="2:3" x14ac:dyDescent="0.3">
      <c r="B344" s="282">
        <v>4.4000000000000004</v>
      </c>
      <c r="C344" t="s">
        <v>283</v>
      </c>
    </row>
    <row r="345" spans="2:3" x14ac:dyDescent="0.3">
      <c r="B345" s="283">
        <v>4.41</v>
      </c>
      <c r="C345" t="s">
        <v>283</v>
      </c>
    </row>
    <row r="346" spans="2:3" x14ac:dyDescent="0.3">
      <c r="B346" s="282">
        <v>4.42</v>
      </c>
      <c r="C346" t="s">
        <v>283</v>
      </c>
    </row>
    <row r="347" spans="2:3" x14ac:dyDescent="0.3">
      <c r="B347" s="283">
        <v>4.43</v>
      </c>
      <c r="C347" t="s">
        <v>283</v>
      </c>
    </row>
    <row r="348" spans="2:3" x14ac:dyDescent="0.3">
      <c r="B348" s="282">
        <v>4.4400000000000004</v>
      </c>
      <c r="C348" t="s">
        <v>283</v>
      </c>
    </row>
    <row r="349" spans="2:3" x14ac:dyDescent="0.3">
      <c r="B349" s="283">
        <v>4.45</v>
      </c>
      <c r="C349" t="s">
        <v>283</v>
      </c>
    </row>
    <row r="350" spans="2:3" x14ac:dyDescent="0.3">
      <c r="B350" s="282">
        <v>4.46</v>
      </c>
      <c r="C350" t="s">
        <v>283</v>
      </c>
    </row>
    <row r="351" spans="2:3" x14ac:dyDescent="0.3">
      <c r="B351" s="283">
        <v>4.47</v>
      </c>
      <c r="C351" t="s">
        <v>283</v>
      </c>
    </row>
    <row r="352" spans="2:3" x14ac:dyDescent="0.3">
      <c r="B352" s="282">
        <v>4.4800000000000004</v>
      </c>
      <c r="C352" t="s">
        <v>283</v>
      </c>
    </row>
    <row r="353" spans="2:3" x14ac:dyDescent="0.3">
      <c r="B353" s="283">
        <v>4.49</v>
      </c>
      <c r="C353" t="s">
        <v>283</v>
      </c>
    </row>
    <row r="354" spans="2:3" x14ac:dyDescent="0.3">
      <c r="B354" s="282">
        <v>4.5</v>
      </c>
      <c r="C354" t="s">
        <v>283</v>
      </c>
    </row>
    <row r="355" spans="2:3" x14ac:dyDescent="0.3">
      <c r="B355" s="283">
        <v>4.51</v>
      </c>
      <c r="C355" t="s">
        <v>283</v>
      </c>
    </row>
    <row r="356" spans="2:3" x14ac:dyDescent="0.3">
      <c r="B356" s="282">
        <v>4.5199999999999996</v>
      </c>
      <c r="C356" t="s">
        <v>283</v>
      </c>
    </row>
    <row r="357" spans="2:3" x14ac:dyDescent="0.3">
      <c r="B357" s="283">
        <v>4.53</v>
      </c>
      <c r="C357" t="s">
        <v>283</v>
      </c>
    </row>
    <row r="358" spans="2:3" x14ac:dyDescent="0.3">
      <c r="B358" s="282">
        <v>4.54</v>
      </c>
      <c r="C358" t="s">
        <v>283</v>
      </c>
    </row>
    <row r="359" spans="2:3" x14ac:dyDescent="0.3">
      <c r="B359" s="283">
        <v>4.55</v>
      </c>
      <c r="C359" t="s">
        <v>283</v>
      </c>
    </row>
    <row r="360" spans="2:3" x14ac:dyDescent="0.3">
      <c r="B360" s="282">
        <v>4.5599999999999996</v>
      </c>
      <c r="C360" t="s">
        <v>283</v>
      </c>
    </row>
    <row r="361" spans="2:3" x14ac:dyDescent="0.3">
      <c r="B361" s="283">
        <v>4.57</v>
      </c>
      <c r="C361" t="s">
        <v>283</v>
      </c>
    </row>
    <row r="362" spans="2:3" x14ac:dyDescent="0.3">
      <c r="B362" s="282">
        <v>4.58</v>
      </c>
      <c r="C362" t="s">
        <v>283</v>
      </c>
    </row>
    <row r="363" spans="2:3" x14ac:dyDescent="0.3">
      <c r="B363" s="283">
        <v>4.59</v>
      </c>
      <c r="C363" t="s">
        <v>283</v>
      </c>
    </row>
    <row r="364" spans="2:3" x14ac:dyDescent="0.3">
      <c r="B364" s="282">
        <v>4.5999999999999996</v>
      </c>
      <c r="C364" t="s">
        <v>283</v>
      </c>
    </row>
    <row r="365" spans="2:3" x14ac:dyDescent="0.3">
      <c r="B365" s="283">
        <v>4.6100000000000003</v>
      </c>
      <c r="C365" t="s">
        <v>283</v>
      </c>
    </row>
    <row r="366" spans="2:3" x14ac:dyDescent="0.3">
      <c r="B366" s="282">
        <v>4.62</v>
      </c>
      <c r="C366" t="s">
        <v>283</v>
      </c>
    </row>
    <row r="367" spans="2:3" x14ac:dyDescent="0.3">
      <c r="B367" s="283">
        <v>4.63</v>
      </c>
      <c r="C367" t="s">
        <v>283</v>
      </c>
    </row>
    <row r="368" spans="2:3" x14ac:dyDescent="0.3">
      <c r="B368" s="282">
        <v>4.6399999999999997</v>
      </c>
      <c r="C368" t="s">
        <v>283</v>
      </c>
    </row>
    <row r="369" spans="2:3" x14ac:dyDescent="0.3">
      <c r="B369" s="283">
        <v>4.6500000000000004</v>
      </c>
      <c r="C369" t="s">
        <v>283</v>
      </c>
    </row>
    <row r="370" spans="2:3" x14ac:dyDescent="0.3">
      <c r="B370" s="282">
        <v>4.66</v>
      </c>
      <c r="C370" t="s">
        <v>283</v>
      </c>
    </row>
    <row r="371" spans="2:3" x14ac:dyDescent="0.3">
      <c r="B371" s="283">
        <v>4.67</v>
      </c>
      <c r="C371" t="s">
        <v>283</v>
      </c>
    </row>
    <row r="372" spans="2:3" x14ac:dyDescent="0.3">
      <c r="B372" s="282">
        <v>4.68</v>
      </c>
      <c r="C372" t="s">
        <v>283</v>
      </c>
    </row>
    <row r="373" spans="2:3" x14ac:dyDescent="0.3">
      <c r="B373" s="283">
        <v>4.6900000000000004</v>
      </c>
      <c r="C373" t="s">
        <v>283</v>
      </c>
    </row>
    <row r="374" spans="2:3" x14ac:dyDescent="0.3">
      <c r="B374" s="282">
        <v>4.7</v>
      </c>
      <c r="C374" t="s">
        <v>283</v>
      </c>
    </row>
    <row r="375" spans="2:3" x14ac:dyDescent="0.3">
      <c r="B375" s="283">
        <v>4.71</v>
      </c>
      <c r="C375" t="s">
        <v>283</v>
      </c>
    </row>
    <row r="376" spans="2:3" x14ac:dyDescent="0.3">
      <c r="B376" s="282">
        <v>4.72</v>
      </c>
      <c r="C376" t="s">
        <v>283</v>
      </c>
    </row>
    <row r="377" spans="2:3" x14ac:dyDescent="0.3">
      <c r="B377" s="283">
        <v>4.7300000000000004</v>
      </c>
      <c r="C377" t="s">
        <v>283</v>
      </c>
    </row>
    <row r="378" spans="2:3" x14ac:dyDescent="0.3">
      <c r="B378" s="282">
        <v>4.74</v>
      </c>
      <c r="C378" t="s">
        <v>283</v>
      </c>
    </row>
    <row r="379" spans="2:3" x14ac:dyDescent="0.3">
      <c r="B379" s="283">
        <v>4.75</v>
      </c>
      <c r="C379" t="s">
        <v>282</v>
      </c>
    </row>
    <row r="380" spans="2:3" x14ac:dyDescent="0.3">
      <c r="B380" s="282">
        <v>4.76</v>
      </c>
      <c r="C380" t="s">
        <v>282</v>
      </c>
    </row>
    <row r="381" spans="2:3" x14ac:dyDescent="0.3">
      <c r="B381" s="283">
        <v>4.7699999999999996</v>
      </c>
      <c r="C381" t="s">
        <v>282</v>
      </c>
    </row>
    <row r="382" spans="2:3" x14ac:dyDescent="0.3">
      <c r="B382" s="282">
        <v>4.78</v>
      </c>
      <c r="C382" t="s">
        <v>282</v>
      </c>
    </row>
    <row r="383" spans="2:3" x14ac:dyDescent="0.3">
      <c r="B383" s="283">
        <v>4.79</v>
      </c>
      <c r="C383" t="s">
        <v>282</v>
      </c>
    </row>
    <row r="384" spans="2:3" x14ac:dyDescent="0.3">
      <c r="B384" s="282">
        <v>4.8</v>
      </c>
      <c r="C384" t="s">
        <v>282</v>
      </c>
    </row>
    <row r="385" spans="2:3" x14ac:dyDescent="0.3">
      <c r="B385" s="283">
        <v>4.8099999999999996</v>
      </c>
      <c r="C385" t="s">
        <v>282</v>
      </c>
    </row>
    <row r="386" spans="2:3" x14ac:dyDescent="0.3">
      <c r="B386" s="282">
        <v>4.82</v>
      </c>
      <c r="C386" t="s">
        <v>282</v>
      </c>
    </row>
    <row r="387" spans="2:3" x14ac:dyDescent="0.3">
      <c r="B387" s="283">
        <v>4.83</v>
      </c>
      <c r="C387" t="s">
        <v>282</v>
      </c>
    </row>
    <row r="388" spans="2:3" x14ac:dyDescent="0.3">
      <c r="B388" s="282">
        <v>4.84</v>
      </c>
      <c r="C388" t="s">
        <v>282</v>
      </c>
    </row>
    <row r="389" spans="2:3" x14ac:dyDescent="0.3">
      <c r="B389" s="283">
        <v>4.8499999999999996</v>
      </c>
      <c r="C389" t="s">
        <v>282</v>
      </c>
    </row>
    <row r="390" spans="2:3" x14ac:dyDescent="0.3">
      <c r="B390" s="282">
        <v>4.8600000000000003</v>
      </c>
      <c r="C390" t="s">
        <v>282</v>
      </c>
    </row>
    <row r="391" spans="2:3" x14ac:dyDescent="0.3">
      <c r="B391" s="283">
        <v>4.87</v>
      </c>
      <c r="C391" t="s">
        <v>282</v>
      </c>
    </row>
    <row r="392" spans="2:3" x14ac:dyDescent="0.3">
      <c r="B392" s="282">
        <v>4.88</v>
      </c>
      <c r="C392" t="s">
        <v>282</v>
      </c>
    </row>
    <row r="393" spans="2:3" x14ac:dyDescent="0.3">
      <c r="B393" s="283">
        <v>4.8899999999999997</v>
      </c>
      <c r="C393" t="s">
        <v>282</v>
      </c>
    </row>
    <row r="394" spans="2:3" x14ac:dyDescent="0.3">
      <c r="B394" s="282">
        <v>4.9000000000000004</v>
      </c>
      <c r="C394" t="s">
        <v>282</v>
      </c>
    </row>
    <row r="395" spans="2:3" x14ac:dyDescent="0.3">
      <c r="B395" s="283">
        <v>4.91</v>
      </c>
      <c r="C395" t="s">
        <v>282</v>
      </c>
    </row>
    <row r="396" spans="2:3" x14ac:dyDescent="0.3">
      <c r="B396" s="282">
        <v>4.92</v>
      </c>
      <c r="C396" t="s">
        <v>282</v>
      </c>
    </row>
    <row r="397" spans="2:3" x14ac:dyDescent="0.3">
      <c r="B397" s="283">
        <v>4.93</v>
      </c>
      <c r="C397" t="s">
        <v>282</v>
      </c>
    </row>
    <row r="398" spans="2:3" x14ac:dyDescent="0.3">
      <c r="B398" s="282">
        <v>4.9400000000000004</v>
      </c>
      <c r="C398" t="s">
        <v>282</v>
      </c>
    </row>
    <row r="399" spans="2:3" x14ac:dyDescent="0.3">
      <c r="B399" s="283">
        <v>4.95</v>
      </c>
      <c r="C399" t="s">
        <v>282</v>
      </c>
    </row>
    <row r="400" spans="2:3" x14ac:dyDescent="0.3">
      <c r="B400" s="282">
        <v>4.96</v>
      </c>
      <c r="C400" t="s">
        <v>282</v>
      </c>
    </row>
    <row r="401" spans="2:3" x14ac:dyDescent="0.3">
      <c r="B401" s="283">
        <v>4.97</v>
      </c>
      <c r="C401" t="s">
        <v>282</v>
      </c>
    </row>
    <row r="402" spans="2:3" x14ac:dyDescent="0.3">
      <c r="B402" s="282">
        <v>4.9800000000000004</v>
      </c>
      <c r="C402" t="s">
        <v>282</v>
      </c>
    </row>
    <row r="403" spans="2:3" x14ac:dyDescent="0.3">
      <c r="B403" s="283">
        <v>4.99</v>
      </c>
      <c r="C403" t="s">
        <v>282</v>
      </c>
    </row>
    <row r="404" spans="2:3" x14ac:dyDescent="0.3">
      <c r="B404" s="282">
        <v>5</v>
      </c>
      <c r="C404" t="s">
        <v>282</v>
      </c>
    </row>
    <row r="405" spans="2:3" x14ac:dyDescent="0.3">
      <c r="B405" s="283">
        <v>5.01</v>
      </c>
      <c r="C405" t="s">
        <v>282</v>
      </c>
    </row>
    <row r="406" spans="2:3" x14ac:dyDescent="0.3">
      <c r="B406" s="282">
        <v>5.0199999999999996</v>
      </c>
      <c r="C406" t="s">
        <v>282</v>
      </c>
    </row>
    <row r="407" spans="2:3" x14ac:dyDescent="0.3">
      <c r="B407" s="283">
        <v>5.03</v>
      </c>
      <c r="C407" t="s">
        <v>282</v>
      </c>
    </row>
    <row r="408" spans="2:3" x14ac:dyDescent="0.3">
      <c r="B408" s="282">
        <v>5.04</v>
      </c>
      <c r="C408" t="s">
        <v>282</v>
      </c>
    </row>
    <row r="409" spans="2:3" x14ac:dyDescent="0.3">
      <c r="B409" s="283">
        <v>5.05</v>
      </c>
      <c r="C409" t="s">
        <v>282</v>
      </c>
    </row>
    <row r="410" spans="2:3" x14ac:dyDescent="0.3">
      <c r="B410" s="282">
        <v>5.0599999999999996</v>
      </c>
      <c r="C410" t="s">
        <v>282</v>
      </c>
    </row>
    <row r="411" spans="2:3" x14ac:dyDescent="0.3">
      <c r="B411" s="283">
        <v>5.07</v>
      </c>
      <c r="C411" t="s">
        <v>282</v>
      </c>
    </row>
    <row r="412" spans="2:3" x14ac:dyDescent="0.3">
      <c r="B412" s="282">
        <v>5.08</v>
      </c>
      <c r="C412" t="s">
        <v>282</v>
      </c>
    </row>
    <row r="413" spans="2:3" x14ac:dyDescent="0.3">
      <c r="B413" s="283">
        <v>5.09</v>
      </c>
      <c r="C413" t="s">
        <v>282</v>
      </c>
    </row>
    <row r="414" spans="2:3" x14ac:dyDescent="0.3">
      <c r="B414" s="282">
        <v>5.0999999999999996</v>
      </c>
      <c r="C414" t="s">
        <v>282</v>
      </c>
    </row>
    <row r="415" spans="2:3" x14ac:dyDescent="0.3">
      <c r="B415" s="283">
        <v>5.1100000000000003</v>
      </c>
      <c r="C415" t="s">
        <v>282</v>
      </c>
    </row>
    <row r="416" spans="2:3" x14ac:dyDescent="0.3">
      <c r="B416" s="282">
        <v>5.12</v>
      </c>
      <c r="C416" t="s">
        <v>282</v>
      </c>
    </row>
    <row r="417" spans="2:3" x14ac:dyDescent="0.3">
      <c r="B417" s="283">
        <v>5.13</v>
      </c>
      <c r="C417" t="s">
        <v>282</v>
      </c>
    </row>
    <row r="418" spans="2:3" x14ac:dyDescent="0.3">
      <c r="B418" s="282">
        <v>5.14</v>
      </c>
      <c r="C418" t="s">
        <v>282</v>
      </c>
    </row>
    <row r="419" spans="2:3" x14ac:dyDescent="0.3">
      <c r="B419" s="283">
        <v>5.15</v>
      </c>
      <c r="C419" t="s">
        <v>282</v>
      </c>
    </row>
    <row r="420" spans="2:3" x14ac:dyDescent="0.3">
      <c r="B420" s="282">
        <v>5.16</v>
      </c>
      <c r="C420" t="s">
        <v>282</v>
      </c>
    </row>
    <row r="421" spans="2:3" x14ac:dyDescent="0.3">
      <c r="B421" s="283">
        <v>5.17</v>
      </c>
      <c r="C421" t="s">
        <v>282</v>
      </c>
    </row>
    <row r="422" spans="2:3" x14ac:dyDescent="0.3">
      <c r="B422" s="282">
        <v>5.18</v>
      </c>
      <c r="C422" t="s">
        <v>282</v>
      </c>
    </row>
    <row r="423" spans="2:3" x14ac:dyDescent="0.3">
      <c r="B423" s="283">
        <v>5.19</v>
      </c>
      <c r="C423" t="s">
        <v>282</v>
      </c>
    </row>
    <row r="424" spans="2:3" x14ac:dyDescent="0.3">
      <c r="B424" s="282">
        <v>5.2</v>
      </c>
      <c r="C424" t="s">
        <v>282</v>
      </c>
    </row>
    <row r="425" spans="2:3" x14ac:dyDescent="0.3">
      <c r="B425" s="283">
        <v>5.21</v>
      </c>
      <c r="C425" t="s">
        <v>282</v>
      </c>
    </row>
    <row r="426" spans="2:3" x14ac:dyDescent="0.3">
      <c r="B426" s="282">
        <v>5.22</v>
      </c>
      <c r="C426" t="s">
        <v>282</v>
      </c>
    </row>
    <row r="427" spans="2:3" x14ac:dyDescent="0.3">
      <c r="B427" s="283">
        <v>5.23</v>
      </c>
      <c r="C427" t="s">
        <v>282</v>
      </c>
    </row>
    <row r="428" spans="2:3" x14ac:dyDescent="0.3">
      <c r="B428" s="282">
        <v>5.24</v>
      </c>
      <c r="C428" t="s">
        <v>282</v>
      </c>
    </row>
    <row r="429" spans="2:3" x14ac:dyDescent="0.3">
      <c r="B429" s="283">
        <v>5.25</v>
      </c>
      <c r="C429" t="s">
        <v>282</v>
      </c>
    </row>
    <row r="430" spans="2:3" x14ac:dyDescent="0.3">
      <c r="B430" s="282">
        <v>5.26</v>
      </c>
      <c r="C430" t="s">
        <v>282</v>
      </c>
    </row>
    <row r="431" spans="2:3" x14ac:dyDescent="0.3">
      <c r="B431" s="283">
        <v>5.27</v>
      </c>
      <c r="C431" t="s">
        <v>282</v>
      </c>
    </row>
    <row r="432" spans="2:3" x14ac:dyDescent="0.3">
      <c r="B432" s="282">
        <v>5.28</v>
      </c>
      <c r="C432" t="s">
        <v>282</v>
      </c>
    </row>
    <row r="433" spans="2:3" x14ac:dyDescent="0.3">
      <c r="B433" s="283">
        <v>5.29</v>
      </c>
      <c r="C433" t="s">
        <v>282</v>
      </c>
    </row>
    <row r="434" spans="2:3" x14ac:dyDescent="0.3">
      <c r="B434" s="282">
        <v>5.3</v>
      </c>
      <c r="C434" t="s">
        <v>282</v>
      </c>
    </row>
    <row r="435" spans="2:3" x14ac:dyDescent="0.3">
      <c r="B435" s="283">
        <v>5.31</v>
      </c>
      <c r="C435" t="s">
        <v>282</v>
      </c>
    </row>
    <row r="436" spans="2:3" x14ac:dyDescent="0.3">
      <c r="B436" s="282">
        <v>5.32</v>
      </c>
      <c r="C436" t="s">
        <v>282</v>
      </c>
    </row>
    <row r="437" spans="2:3" x14ac:dyDescent="0.3">
      <c r="B437" s="283">
        <v>5.33</v>
      </c>
      <c r="C437" t="s">
        <v>282</v>
      </c>
    </row>
    <row r="438" spans="2:3" x14ac:dyDescent="0.3">
      <c r="B438" s="282">
        <v>5.34</v>
      </c>
      <c r="C438" t="s">
        <v>282</v>
      </c>
    </row>
    <row r="439" spans="2:3" x14ac:dyDescent="0.3">
      <c r="B439" s="283">
        <v>5.35</v>
      </c>
      <c r="C439" t="s">
        <v>282</v>
      </c>
    </row>
    <row r="440" spans="2:3" x14ac:dyDescent="0.3">
      <c r="B440" s="282">
        <v>5.36</v>
      </c>
      <c r="C440" t="s">
        <v>282</v>
      </c>
    </row>
    <row r="441" spans="2:3" x14ac:dyDescent="0.3">
      <c r="B441" s="283">
        <v>5.37</v>
      </c>
      <c r="C441" t="s">
        <v>282</v>
      </c>
    </row>
    <row r="442" spans="2:3" x14ac:dyDescent="0.3">
      <c r="B442" s="282">
        <v>5.38</v>
      </c>
      <c r="C442" t="s">
        <v>282</v>
      </c>
    </row>
    <row r="443" spans="2:3" x14ac:dyDescent="0.3">
      <c r="B443" s="283">
        <v>5.39</v>
      </c>
      <c r="C443" t="s">
        <v>282</v>
      </c>
    </row>
    <row r="444" spans="2:3" x14ac:dyDescent="0.3">
      <c r="B444" s="282">
        <v>5.4</v>
      </c>
      <c r="C444" t="s">
        <v>282</v>
      </c>
    </row>
    <row r="445" spans="2:3" x14ac:dyDescent="0.3">
      <c r="B445" s="283">
        <v>5.41</v>
      </c>
      <c r="C445" t="s">
        <v>282</v>
      </c>
    </row>
    <row r="446" spans="2:3" x14ac:dyDescent="0.3">
      <c r="B446" s="282">
        <v>5.42</v>
      </c>
      <c r="C446" t="s">
        <v>282</v>
      </c>
    </row>
    <row r="447" spans="2:3" x14ac:dyDescent="0.3">
      <c r="B447" s="283">
        <v>5.43</v>
      </c>
      <c r="C447" t="s">
        <v>282</v>
      </c>
    </row>
    <row r="448" spans="2:3" x14ac:dyDescent="0.3">
      <c r="B448" s="282">
        <v>5.44</v>
      </c>
      <c r="C448" t="s">
        <v>282</v>
      </c>
    </row>
    <row r="449" spans="2:3" x14ac:dyDescent="0.3">
      <c r="B449" s="283">
        <v>5.45</v>
      </c>
      <c r="C449" t="s">
        <v>282</v>
      </c>
    </row>
    <row r="450" spans="2:3" x14ac:dyDescent="0.3">
      <c r="B450" s="282">
        <v>5.46</v>
      </c>
      <c r="C450" t="s">
        <v>282</v>
      </c>
    </row>
    <row r="451" spans="2:3" x14ac:dyDescent="0.3">
      <c r="B451" s="283">
        <v>5.47</v>
      </c>
      <c r="C451" t="s">
        <v>282</v>
      </c>
    </row>
    <row r="452" spans="2:3" x14ac:dyDescent="0.3">
      <c r="B452" s="282">
        <v>5.48</v>
      </c>
      <c r="C452" t="s">
        <v>282</v>
      </c>
    </row>
    <row r="453" spans="2:3" x14ac:dyDescent="0.3">
      <c r="B453" s="283">
        <v>5.49</v>
      </c>
      <c r="C453" t="s">
        <v>282</v>
      </c>
    </row>
    <row r="454" spans="2:3" x14ac:dyDescent="0.3">
      <c r="B454" s="282">
        <v>5.5</v>
      </c>
      <c r="C454" t="s">
        <v>282</v>
      </c>
    </row>
    <row r="455" spans="2:3" x14ac:dyDescent="0.3">
      <c r="B455" s="283">
        <v>5.51</v>
      </c>
      <c r="C455" t="s">
        <v>282</v>
      </c>
    </row>
    <row r="456" spans="2:3" x14ac:dyDescent="0.3">
      <c r="B456" s="282">
        <v>5.52</v>
      </c>
      <c r="C456" t="s">
        <v>282</v>
      </c>
    </row>
    <row r="457" spans="2:3" x14ac:dyDescent="0.3">
      <c r="B457" s="283">
        <v>5.53</v>
      </c>
      <c r="C457" t="s">
        <v>282</v>
      </c>
    </row>
    <row r="458" spans="2:3" x14ac:dyDescent="0.3">
      <c r="B458" s="282">
        <v>5.54</v>
      </c>
      <c r="C458" t="s">
        <v>282</v>
      </c>
    </row>
    <row r="459" spans="2:3" x14ac:dyDescent="0.3">
      <c r="B459" s="283">
        <v>5.55</v>
      </c>
      <c r="C459" t="s">
        <v>282</v>
      </c>
    </row>
    <row r="460" spans="2:3" x14ac:dyDescent="0.3">
      <c r="B460" s="282">
        <v>5.56</v>
      </c>
      <c r="C460" t="s">
        <v>282</v>
      </c>
    </row>
    <row r="461" spans="2:3" x14ac:dyDescent="0.3">
      <c r="B461" s="283">
        <v>5.57</v>
      </c>
      <c r="C461" t="s">
        <v>282</v>
      </c>
    </row>
    <row r="462" spans="2:3" x14ac:dyDescent="0.3">
      <c r="B462" s="282">
        <v>5.58</v>
      </c>
      <c r="C462" t="s">
        <v>282</v>
      </c>
    </row>
    <row r="463" spans="2:3" x14ac:dyDescent="0.3">
      <c r="B463" s="283">
        <v>5.59</v>
      </c>
      <c r="C463" t="s">
        <v>282</v>
      </c>
    </row>
    <row r="464" spans="2:3" x14ac:dyDescent="0.3">
      <c r="B464" s="282">
        <v>5.6</v>
      </c>
      <c r="C464" t="s">
        <v>282</v>
      </c>
    </row>
    <row r="465" spans="2:3" x14ac:dyDescent="0.3">
      <c r="B465" s="283">
        <v>5.61</v>
      </c>
      <c r="C465" t="s">
        <v>282</v>
      </c>
    </row>
    <row r="466" spans="2:3" x14ac:dyDescent="0.3">
      <c r="B466" s="282">
        <v>5.62</v>
      </c>
      <c r="C466" t="s">
        <v>282</v>
      </c>
    </row>
    <row r="467" spans="2:3" x14ac:dyDescent="0.3">
      <c r="B467" s="283">
        <v>5.63</v>
      </c>
      <c r="C467" t="s">
        <v>282</v>
      </c>
    </row>
    <row r="468" spans="2:3" x14ac:dyDescent="0.3">
      <c r="B468" s="282">
        <v>5.64</v>
      </c>
      <c r="C468" t="s">
        <v>282</v>
      </c>
    </row>
    <row r="469" spans="2:3" x14ac:dyDescent="0.3">
      <c r="B469" s="283">
        <v>5.65</v>
      </c>
      <c r="C469" t="s">
        <v>282</v>
      </c>
    </row>
    <row r="470" spans="2:3" x14ac:dyDescent="0.3">
      <c r="B470" s="282">
        <v>5.66</v>
      </c>
      <c r="C470" t="s">
        <v>282</v>
      </c>
    </row>
    <row r="471" spans="2:3" x14ac:dyDescent="0.3">
      <c r="B471" s="283">
        <v>5.67</v>
      </c>
      <c r="C471" t="s">
        <v>282</v>
      </c>
    </row>
    <row r="472" spans="2:3" x14ac:dyDescent="0.3">
      <c r="B472" s="282">
        <v>5.68</v>
      </c>
      <c r="C472" t="s">
        <v>282</v>
      </c>
    </row>
    <row r="473" spans="2:3" x14ac:dyDescent="0.3">
      <c r="B473" s="283">
        <v>5.69</v>
      </c>
      <c r="C473" t="s">
        <v>282</v>
      </c>
    </row>
    <row r="474" spans="2:3" x14ac:dyDescent="0.3">
      <c r="B474" s="282">
        <v>5.7</v>
      </c>
      <c r="C474" t="s">
        <v>282</v>
      </c>
    </row>
    <row r="475" spans="2:3" x14ac:dyDescent="0.3">
      <c r="B475" s="283">
        <v>5.71</v>
      </c>
      <c r="C475" t="s">
        <v>282</v>
      </c>
    </row>
    <row r="476" spans="2:3" x14ac:dyDescent="0.3">
      <c r="B476" s="282">
        <v>5.72</v>
      </c>
      <c r="C476" t="s">
        <v>282</v>
      </c>
    </row>
    <row r="477" spans="2:3" x14ac:dyDescent="0.3">
      <c r="B477" s="283">
        <v>5.73</v>
      </c>
      <c r="C477" t="s">
        <v>282</v>
      </c>
    </row>
    <row r="478" spans="2:3" x14ac:dyDescent="0.3">
      <c r="B478" s="282">
        <v>5.74</v>
      </c>
      <c r="C478" t="s">
        <v>282</v>
      </c>
    </row>
    <row r="479" spans="2:3" x14ac:dyDescent="0.3">
      <c r="B479" s="283">
        <v>5.75</v>
      </c>
      <c r="C479" t="s">
        <v>281</v>
      </c>
    </row>
    <row r="480" spans="2:3" x14ac:dyDescent="0.3">
      <c r="B480" s="282">
        <v>5.76</v>
      </c>
      <c r="C480" t="s">
        <v>281</v>
      </c>
    </row>
    <row r="481" spans="2:3" x14ac:dyDescent="0.3">
      <c r="B481" s="283">
        <v>5.77</v>
      </c>
      <c r="C481" t="s">
        <v>281</v>
      </c>
    </row>
    <row r="482" spans="2:3" x14ac:dyDescent="0.3">
      <c r="B482" s="282">
        <v>5.78</v>
      </c>
      <c r="C482" t="s">
        <v>281</v>
      </c>
    </row>
    <row r="483" spans="2:3" x14ac:dyDescent="0.3">
      <c r="B483" s="283">
        <v>5.79</v>
      </c>
      <c r="C483" t="s">
        <v>281</v>
      </c>
    </row>
    <row r="484" spans="2:3" x14ac:dyDescent="0.3">
      <c r="B484" s="282">
        <v>5.8</v>
      </c>
      <c r="C484" t="s">
        <v>281</v>
      </c>
    </row>
    <row r="485" spans="2:3" x14ac:dyDescent="0.3">
      <c r="B485" s="283">
        <v>5.81</v>
      </c>
      <c r="C485" t="s">
        <v>281</v>
      </c>
    </row>
    <row r="486" spans="2:3" x14ac:dyDescent="0.3">
      <c r="B486" s="282">
        <v>5.82</v>
      </c>
      <c r="C486" t="s">
        <v>281</v>
      </c>
    </row>
    <row r="487" spans="2:3" x14ac:dyDescent="0.3">
      <c r="B487" s="283">
        <v>5.83</v>
      </c>
      <c r="C487" t="s">
        <v>281</v>
      </c>
    </row>
    <row r="488" spans="2:3" x14ac:dyDescent="0.3">
      <c r="B488" s="282">
        <v>5.84</v>
      </c>
      <c r="C488" t="s">
        <v>281</v>
      </c>
    </row>
    <row r="489" spans="2:3" x14ac:dyDescent="0.3">
      <c r="B489" s="283">
        <v>5.85</v>
      </c>
      <c r="C489" t="s">
        <v>281</v>
      </c>
    </row>
    <row r="490" spans="2:3" x14ac:dyDescent="0.3">
      <c r="B490" s="282">
        <v>5.86</v>
      </c>
      <c r="C490" t="s">
        <v>281</v>
      </c>
    </row>
    <row r="491" spans="2:3" x14ac:dyDescent="0.3">
      <c r="B491" s="283">
        <v>5.87</v>
      </c>
      <c r="C491" t="s">
        <v>281</v>
      </c>
    </row>
    <row r="492" spans="2:3" x14ac:dyDescent="0.3">
      <c r="B492" s="282">
        <v>5.88</v>
      </c>
      <c r="C492" t="s">
        <v>281</v>
      </c>
    </row>
    <row r="493" spans="2:3" x14ac:dyDescent="0.3">
      <c r="B493" s="283">
        <v>5.89</v>
      </c>
      <c r="C493" t="s">
        <v>281</v>
      </c>
    </row>
    <row r="494" spans="2:3" x14ac:dyDescent="0.3">
      <c r="B494" s="282">
        <v>5.9</v>
      </c>
      <c r="C494" t="s">
        <v>281</v>
      </c>
    </row>
    <row r="495" spans="2:3" x14ac:dyDescent="0.3">
      <c r="B495" s="283">
        <v>5.91</v>
      </c>
      <c r="C495" t="s">
        <v>281</v>
      </c>
    </row>
    <row r="496" spans="2:3" x14ac:dyDescent="0.3">
      <c r="B496" s="282">
        <v>5.92</v>
      </c>
      <c r="C496" t="s">
        <v>281</v>
      </c>
    </row>
    <row r="497" spans="2:3" x14ac:dyDescent="0.3">
      <c r="B497" s="283">
        <v>5.93</v>
      </c>
      <c r="C497" t="s">
        <v>281</v>
      </c>
    </row>
    <row r="498" spans="2:3" x14ac:dyDescent="0.3">
      <c r="B498" s="282">
        <v>5.94</v>
      </c>
      <c r="C498" t="s">
        <v>281</v>
      </c>
    </row>
    <row r="499" spans="2:3" x14ac:dyDescent="0.3">
      <c r="B499" s="283">
        <v>5.95</v>
      </c>
      <c r="C499" t="s">
        <v>281</v>
      </c>
    </row>
    <row r="500" spans="2:3" x14ac:dyDescent="0.3">
      <c r="B500" s="282">
        <v>5.96</v>
      </c>
      <c r="C500" t="s">
        <v>281</v>
      </c>
    </row>
    <row r="501" spans="2:3" x14ac:dyDescent="0.3">
      <c r="B501" s="283">
        <v>5.97</v>
      </c>
      <c r="C501" t="s">
        <v>281</v>
      </c>
    </row>
    <row r="502" spans="2:3" x14ac:dyDescent="0.3">
      <c r="B502" s="282">
        <v>5.98</v>
      </c>
      <c r="C502" t="s">
        <v>281</v>
      </c>
    </row>
    <row r="503" spans="2:3" x14ac:dyDescent="0.3">
      <c r="B503" s="283">
        <v>5.99</v>
      </c>
      <c r="C503" t="s">
        <v>281</v>
      </c>
    </row>
    <row r="504" spans="2:3" x14ac:dyDescent="0.3">
      <c r="B504" s="282">
        <v>6</v>
      </c>
      <c r="C504" t="s">
        <v>281</v>
      </c>
    </row>
  </sheetData>
  <conditionalFormatting sqref="M4:M24">
    <cfRule type="expression" dxfId="795" priority="1">
      <formula>RIGHT(TEXT($M4,"#.00"),2)="00"</formula>
    </cfRule>
    <cfRule type="expression" dxfId="794" priority="2">
      <formula>RIGHT(TEXT($M4,"#.00"),2)="50"</formula>
    </cfRule>
    <cfRule type="expression" dxfId="793" priority="3">
      <formula>RIGHT(TEXT($M4,"#.00"),1)="5"</formula>
    </cfRule>
  </conditionalFormatting>
  <dataValidations count="1">
    <dataValidation type="list" allowBlank="1" showInputMessage="1" showErrorMessage="1" sqref="C3:C504 N3:N24">
      <formula1>INDIRECT($B$1)</formula1>
    </dataValidation>
  </dataValidations>
  <pageMargins left="0.7" right="0.7" top="0.78740157499999996" bottom="0.78740157499999996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B1:C5"/>
  <sheetViews>
    <sheetView zoomScale="80" zoomScaleNormal="80" workbookViewId="0">
      <selection activeCell="A37" sqref="A37"/>
    </sheetView>
  </sheetViews>
  <sheetFormatPr baseColWidth="10" defaultRowHeight="14.4" x14ac:dyDescent="0.3"/>
  <cols>
    <col min="1" max="1" width="46.88671875" customWidth="1"/>
    <col min="2" max="3" width="11.44140625" style="296" customWidth="1"/>
    <col min="4" max="9" width="11.44140625" customWidth="1"/>
  </cols>
  <sheetData>
    <row r="1" ht="114" customHeight="1" x14ac:dyDescent="0.3"/>
    <row r="2" ht="117.6" customHeight="1" x14ac:dyDescent="0.3"/>
    <row r="3" ht="128.4" customHeight="1" x14ac:dyDescent="0.3"/>
    <row r="4" ht="117" customHeight="1" x14ac:dyDescent="0.3"/>
    <row r="5" ht="14.4" customHeight="1" x14ac:dyDescent="0.3"/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5"/>
  <sheetViews>
    <sheetView zoomScale="80" zoomScaleNormal="80" workbookViewId="0">
      <selection activeCell="A37" sqref="A37"/>
    </sheetView>
  </sheetViews>
  <sheetFormatPr baseColWidth="10" defaultRowHeight="14.4" x14ac:dyDescent="0.3"/>
  <cols>
    <col min="1" max="1" width="12.109375" style="296" customWidth="1"/>
    <col min="2" max="2" width="11.5546875" style="296" customWidth="1"/>
  </cols>
  <sheetData>
    <row r="1" spans="1:1" ht="111" customHeight="1" x14ac:dyDescent="0.3"/>
    <row r="2" spans="1:1" ht="111" customHeight="1" x14ac:dyDescent="0.3"/>
    <row r="3" spans="1:1" ht="111" customHeight="1" x14ac:dyDescent="0.3"/>
    <row r="4" spans="1:1" ht="111" customHeight="1" x14ac:dyDescent="0.3">
      <c r="A4" s="297" t="s">
        <v>97</v>
      </c>
    </row>
    <row r="5" spans="1:1" ht="111" customHeight="1" x14ac:dyDescent="0.3">
      <c r="A5" s="297" t="s">
        <v>124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A4"/>
  <sheetViews>
    <sheetView zoomScale="80" zoomScaleNormal="80" workbookViewId="0">
      <selection activeCell="A37" sqref="A37"/>
    </sheetView>
  </sheetViews>
  <sheetFormatPr baseColWidth="10" defaultRowHeight="14.4" x14ac:dyDescent="0.3"/>
  <cols>
    <col min="1" max="1" width="16.88671875" style="296" customWidth="1"/>
  </cols>
  <sheetData>
    <row r="1" ht="93" customHeight="1" x14ac:dyDescent="0.3"/>
    <row r="2" ht="93" customHeight="1" x14ac:dyDescent="0.3"/>
    <row r="3" ht="93" customHeight="1" x14ac:dyDescent="0.3"/>
    <row r="4" ht="14.4" customHeight="1" x14ac:dyDescent="0.3"/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BA56"/>
  <sheetViews>
    <sheetView zoomScale="50" zoomScaleNormal="50" workbookViewId="0">
      <selection activeCell="A37" sqref="A37"/>
    </sheetView>
  </sheetViews>
  <sheetFormatPr baseColWidth="10" defaultColWidth="11.5546875" defaultRowHeight="14.4" x14ac:dyDescent="0.3"/>
  <cols>
    <col min="1" max="2" width="11.5546875" style="10"/>
    <col min="3" max="3" width="1.109375" style="10" customWidth="1"/>
    <col min="4" max="5" width="11.5546875" style="10"/>
    <col min="6" max="6" width="2.6640625" style="10" customWidth="1"/>
    <col min="7" max="8" width="11.5546875" style="10"/>
    <col min="9" max="9" width="1.109375" style="10" customWidth="1"/>
    <col min="10" max="11" width="11.5546875" style="10"/>
    <col min="12" max="12" width="2.6640625" style="10" customWidth="1"/>
    <col min="13" max="14" width="11.5546875" style="10"/>
    <col min="15" max="15" width="1.109375" style="10" customWidth="1"/>
    <col min="16" max="17" width="11.5546875" style="10"/>
    <col min="18" max="18" width="2.6640625" style="10" customWidth="1"/>
    <col min="19" max="20" width="11.5546875" style="10"/>
    <col min="21" max="21" width="1.109375" style="10" customWidth="1"/>
    <col min="22" max="23" width="11.5546875" style="10"/>
    <col min="24" max="24" width="2.6640625" style="10" customWidth="1"/>
    <col min="25" max="26" width="11.5546875" style="10"/>
    <col min="27" max="27" width="1.109375" style="10" customWidth="1"/>
    <col min="28" max="28" width="11.6640625" style="10" customWidth="1"/>
    <col min="29" max="29" width="11.5546875" style="10"/>
    <col min="30" max="30" width="2.6640625" style="10" customWidth="1"/>
    <col min="31" max="32" width="11.5546875" style="10"/>
    <col min="33" max="33" width="1.109375" style="10" customWidth="1"/>
    <col min="34" max="35" width="11.5546875" style="10"/>
    <col min="36" max="36" width="2.6640625" style="10" customWidth="1"/>
    <col min="37" max="38" width="11.5546875" style="10"/>
    <col min="39" max="39" width="1.109375" style="10" customWidth="1"/>
    <col min="40" max="41" width="11.5546875" style="10"/>
    <col min="42" max="42" width="2.6640625" style="10" customWidth="1"/>
    <col min="43" max="43" width="11.6640625" style="10" customWidth="1"/>
    <col min="44" max="44" width="11.5546875" style="10"/>
    <col min="45" max="45" width="1.109375" style="10" customWidth="1"/>
    <col min="46" max="46" width="11.6640625" style="10" customWidth="1"/>
    <col min="47" max="47" width="11.5546875" style="10"/>
    <col min="48" max="48" width="2.6640625" style="10" customWidth="1"/>
    <col min="49" max="49" width="11.6640625" style="10" customWidth="1"/>
    <col min="50" max="50" width="11.5546875" style="10"/>
    <col min="51" max="51" width="1.109375" style="10" customWidth="1"/>
    <col min="52" max="16384" width="11.5546875" style="10"/>
  </cols>
  <sheetData>
    <row r="1" spans="1:53" s="11" customFormat="1" x14ac:dyDescent="0.3">
      <c r="A1" s="4" t="str">
        <f>INDEX(StdDisziplinen[StdDisziplin],1)</f>
        <v>60-m-Lauf</v>
      </c>
      <c r="G1" s="4" t="str">
        <f>INDEX(StdDisziplinen[StdDisziplin],2)</f>
        <v>80-m-Lauf</v>
      </c>
      <c r="M1" s="4" t="str">
        <f>INDEX(StdDisziplinen[StdDisziplin],3)</f>
        <v>12-Min.-Lauf (Halle)</v>
      </c>
      <c r="S1" s="4" t="str">
        <f>INDEX(StdDisziplinen[StdDisziplin],4)</f>
        <v>12-Min.-Lauf (im Freien)</v>
      </c>
      <c r="Y1" s="4" t="str">
        <f>INDEX(StdDisziplinen[StdDisziplin],5)</f>
        <v>Hochsprung</v>
      </c>
      <c r="AE1" s="4" t="str">
        <f>INDEX(StdDisziplinen[StdDisziplin],6)</f>
        <v>Weitsprung</v>
      </c>
      <c r="AK1" s="4" t="str">
        <f>INDEX(StdDisziplinen[StdDisziplin],7)</f>
        <v>Ballwurf</v>
      </c>
      <c r="AQ1" s="4" t="str">
        <f>INDEX(StdDisziplinen[StdDisziplin],8)</f>
        <v>Kugelstossen</v>
      </c>
      <c r="AW1" s="4" t="str">
        <f>INDEX(StdDisziplinen[StdDisziplin],9)</f>
        <v>Speerwurf</v>
      </c>
    </row>
    <row r="2" spans="1:53" s="11" customFormat="1" x14ac:dyDescent="0.3">
      <c r="A2" s="584" t="str">
        <f>INDEX(StdSkala[StdSkalaText],3)</f>
        <v>Knaben K1</v>
      </c>
      <c r="B2" s="584"/>
      <c r="C2" s="99"/>
      <c r="D2" s="584" t="str">
        <f>INDEX(StdSkala[StdSkalaText],1)</f>
        <v>Mädchen M1</v>
      </c>
      <c r="E2" s="584"/>
      <c r="G2" s="584" t="str">
        <f>$A$2</f>
        <v>Knaben K1</v>
      </c>
      <c r="H2" s="584"/>
      <c r="I2" s="99"/>
      <c r="J2" s="584" t="str">
        <f>$D$2</f>
        <v>Mädchen M1</v>
      </c>
      <c r="K2" s="584"/>
      <c r="M2" s="585" t="str">
        <f>$A$2</f>
        <v>Knaben K1</v>
      </c>
      <c r="N2" s="585"/>
      <c r="O2" s="240"/>
      <c r="P2" s="585" t="str">
        <f>$D$2</f>
        <v>Mädchen M1</v>
      </c>
      <c r="Q2" s="585"/>
      <c r="S2" s="584" t="str">
        <f>$A$2</f>
        <v>Knaben K1</v>
      </c>
      <c r="T2" s="584"/>
      <c r="U2" s="99"/>
      <c r="V2" s="584" t="str">
        <f>$D$2</f>
        <v>Mädchen M1</v>
      </c>
      <c r="W2" s="584"/>
      <c r="Y2" s="584" t="str">
        <f>$A$2</f>
        <v>Knaben K1</v>
      </c>
      <c r="Z2" s="584"/>
      <c r="AA2" s="99"/>
      <c r="AB2" s="584" t="str">
        <f>$D$2</f>
        <v>Mädchen M1</v>
      </c>
      <c r="AC2" s="584"/>
      <c r="AE2" s="584" t="str">
        <f>$A$2</f>
        <v>Knaben K1</v>
      </c>
      <c r="AF2" s="584"/>
      <c r="AG2" s="99"/>
      <c r="AH2" s="584" t="str">
        <f>$D$2</f>
        <v>Mädchen M1</v>
      </c>
      <c r="AI2" s="584"/>
      <c r="AK2" s="584" t="str">
        <f>$A$2</f>
        <v>Knaben K1</v>
      </c>
      <c r="AL2" s="584"/>
      <c r="AM2" s="99"/>
      <c r="AN2" s="584" t="str">
        <f>$D$2</f>
        <v>Mädchen M1</v>
      </c>
      <c r="AO2" s="584"/>
      <c r="AQ2" s="584" t="str">
        <f>$A$2</f>
        <v>Knaben K1</v>
      </c>
      <c r="AR2" s="584"/>
      <c r="AS2" s="99"/>
      <c r="AT2" s="584" t="str">
        <f>$D$2</f>
        <v>Mädchen M1</v>
      </c>
      <c r="AU2" s="584"/>
      <c r="AW2" s="584" t="str">
        <f>$A$2</f>
        <v>Knaben K1</v>
      </c>
      <c r="AX2" s="584"/>
      <c r="AY2" s="99"/>
      <c r="AZ2" s="584" t="str">
        <f>$D$2</f>
        <v>Mädchen M1</v>
      </c>
      <c r="BA2" s="584"/>
    </row>
    <row r="3" spans="1:53" x14ac:dyDescent="0.3">
      <c r="A3" s="1" t="s">
        <v>22</v>
      </c>
      <c r="B3" s="1" t="s">
        <v>7</v>
      </c>
      <c r="D3" s="1" t="s">
        <v>22</v>
      </c>
      <c r="E3" s="1" t="s">
        <v>7</v>
      </c>
      <c r="G3" s="1" t="s">
        <v>22</v>
      </c>
      <c r="H3" s="1" t="s">
        <v>7</v>
      </c>
      <c r="J3" s="1" t="s">
        <v>22</v>
      </c>
      <c r="K3" s="1" t="s">
        <v>7</v>
      </c>
      <c r="M3" s="1" t="s">
        <v>22</v>
      </c>
      <c r="N3" s="1" t="s">
        <v>7</v>
      </c>
      <c r="P3" s="1" t="s">
        <v>22</v>
      </c>
      <c r="Q3" s="1" t="s">
        <v>7</v>
      </c>
      <c r="S3" s="1" t="s">
        <v>22</v>
      </c>
      <c r="T3" s="1" t="s">
        <v>7</v>
      </c>
      <c r="V3" s="1" t="s">
        <v>22</v>
      </c>
      <c r="W3" s="1" t="s">
        <v>7</v>
      </c>
      <c r="Y3" s="1" t="s">
        <v>22</v>
      </c>
      <c r="Z3" s="1" t="s">
        <v>7</v>
      </c>
      <c r="AB3" s="7" t="s">
        <v>22</v>
      </c>
      <c r="AC3" s="1" t="s">
        <v>7</v>
      </c>
      <c r="AE3" s="1" t="s">
        <v>22</v>
      </c>
      <c r="AF3" s="1" t="s">
        <v>7</v>
      </c>
      <c r="AH3" s="7" t="s">
        <v>22</v>
      </c>
      <c r="AI3" s="1" t="s">
        <v>7</v>
      </c>
      <c r="AK3" s="1" t="s">
        <v>22</v>
      </c>
      <c r="AL3" s="1" t="s">
        <v>7</v>
      </c>
      <c r="AN3" s="7" t="s">
        <v>22</v>
      </c>
      <c r="AO3" s="1" t="s">
        <v>7</v>
      </c>
      <c r="AQ3" s="1" t="s">
        <v>22</v>
      </c>
      <c r="AR3" s="1" t="s">
        <v>7</v>
      </c>
      <c r="AT3" s="7" t="s">
        <v>22</v>
      </c>
      <c r="AU3" s="1" t="s">
        <v>7</v>
      </c>
      <c r="AW3" s="1" t="s">
        <v>22</v>
      </c>
      <c r="AX3" s="1" t="s">
        <v>7</v>
      </c>
      <c r="AZ3" s="7" t="s">
        <v>22</v>
      </c>
      <c r="BA3" s="1" t="s">
        <v>7</v>
      </c>
    </row>
    <row r="4" spans="1:53" x14ac:dyDescent="0.3">
      <c r="A4" s="107">
        <v>13.45</v>
      </c>
      <c r="B4" s="105">
        <v>1</v>
      </c>
      <c r="D4" s="107">
        <v>13.95</v>
      </c>
      <c r="E4" s="105">
        <v>1</v>
      </c>
      <c r="G4" s="101">
        <v>17.25</v>
      </c>
      <c r="H4" s="105">
        <v>1</v>
      </c>
      <c r="J4" s="107">
        <v>16.850000000000001</v>
      </c>
      <c r="K4" s="105">
        <v>1</v>
      </c>
      <c r="M4" s="105">
        <v>27.5</v>
      </c>
      <c r="N4" s="93">
        <v>6</v>
      </c>
      <c r="P4" s="103">
        <v>25.5</v>
      </c>
      <c r="Q4" s="94">
        <v>6</v>
      </c>
      <c r="S4" s="104">
        <v>1250</v>
      </c>
      <c r="T4" s="105">
        <v>1</v>
      </c>
      <c r="V4" s="104">
        <v>1175</v>
      </c>
      <c r="W4" s="105">
        <v>0.999999999999999</v>
      </c>
      <c r="Y4" s="106">
        <v>80</v>
      </c>
      <c r="Z4" s="105">
        <v>1</v>
      </c>
      <c r="AB4" s="106">
        <v>70</v>
      </c>
      <c r="AC4" s="105">
        <v>1</v>
      </c>
      <c r="AE4" s="106">
        <v>200</v>
      </c>
      <c r="AF4" s="105">
        <v>1</v>
      </c>
      <c r="AH4" s="234">
        <v>195</v>
      </c>
      <c r="AI4" s="105">
        <v>1</v>
      </c>
      <c r="AK4" s="101">
        <v>6</v>
      </c>
      <c r="AL4" s="105">
        <v>1</v>
      </c>
      <c r="AN4" s="236">
        <v>7</v>
      </c>
      <c r="AO4" s="105">
        <v>1</v>
      </c>
      <c r="AQ4" s="161">
        <v>3</v>
      </c>
      <c r="AR4" s="105">
        <v>1</v>
      </c>
      <c r="AT4" s="161">
        <v>2</v>
      </c>
      <c r="AU4" s="105">
        <v>1</v>
      </c>
      <c r="AW4" s="101">
        <v>4.5999999999999996</v>
      </c>
      <c r="AX4" s="105">
        <v>1</v>
      </c>
      <c r="AZ4" s="101">
        <v>5.2</v>
      </c>
      <c r="BA4" s="105">
        <v>1</v>
      </c>
    </row>
    <row r="5" spans="1:53" x14ac:dyDescent="0.3">
      <c r="A5" s="107">
        <v>13.3</v>
      </c>
      <c r="B5" s="105">
        <v>1.1000000000000001</v>
      </c>
      <c r="D5" s="101">
        <v>13.8</v>
      </c>
      <c r="E5" s="105">
        <v>1.1000000000000001</v>
      </c>
      <c r="G5" s="107">
        <v>17.100000000000001</v>
      </c>
      <c r="H5" s="105">
        <v>1.1000000000000001</v>
      </c>
      <c r="J5" s="107">
        <v>16.760000000000002</v>
      </c>
      <c r="K5" s="105">
        <v>1.1000000000000001</v>
      </c>
      <c r="M5" s="105">
        <v>27</v>
      </c>
      <c r="N5" s="93">
        <v>5.8</v>
      </c>
      <c r="P5" s="103">
        <v>25</v>
      </c>
      <c r="Q5" s="94">
        <v>5.7</v>
      </c>
      <c r="S5" s="104">
        <v>1290</v>
      </c>
      <c r="T5" s="105">
        <v>1.1000000000000001</v>
      </c>
      <c r="V5" s="104">
        <v>1215</v>
      </c>
      <c r="W5" s="105">
        <v>1.1000000000000001</v>
      </c>
      <c r="Y5" s="106">
        <v>81</v>
      </c>
      <c r="Z5" s="105">
        <v>1.1000000000000001</v>
      </c>
      <c r="AB5" s="104">
        <v>71</v>
      </c>
      <c r="AC5" s="105">
        <v>1.1000000000000001</v>
      </c>
      <c r="AE5" s="104">
        <v>205</v>
      </c>
      <c r="AF5" s="105">
        <v>1.1000000000000001</v>
      </c>
      <c r="AH5" s="234">
        <v>200</v>
      </c>
      <c r="AI5" s="105">
        <v>1.1000000000000001</v>
      </c>
      <c r="AK5" s="101">
        <v>6.5</v>
      </c>
      <c r="AL5" s="105">
        <v>1.1000000000000001</v>
      </c>
      <c r="AN5" s="236">
        <v>7.2</v>
      </c>
      <c r="AO5" s="105">
        <v>1.1000000000000001</v>
      </c>
      <c r="AQ5" s="161">
        <v>3.1</v>
      </c>
      <c r="AR5" s="105">
        <v>1.1000000000000001</v>
      </c>
      <c r="AT5" s="236">
        <v>2.1</v>
      </c>
      <c r="AU5" s="105">
        <v>1.1000000000000001</v>
      </c>
      <c r="AW5" s="101">
        <v>4.92</v>
      </c>
      <c r="AX5" s="105">
        <v>1.1000000000000001</v>
      </c>
      <c r="AZ5" s="101">
        <v>5.36</v>
      </c>
      <c r="BA5" s="105">
        <v>1.1000000000000001</v>
      </c>
    </row>
    <row r="6" spans="1:53" x14ac:dyDescent="0.3">
      <c r="A6" s="107">
        <v>13.15</v>
      </c>
      <c r="B6" s="105">
        <v>1.2</v>
      </c>
      <c r="D6" s="107">
        <v>13.65</v>
      </c>
      <c r="E6" s="105">
        <v>1.2</v>
      </c>
      <c r="G6" s="107">
        <v>16.95</v>
      </c>
      <c r="H6" s="105">
        <v>1.2</v>
      </c>
      <c r="J6" s="107">
        <v>16.670000000000002</v>
      </c>
      <c r="K6" s="105">
        <v>1.2</v>
      </c>
      <c r="M6" s="105">
        <v>26.5</v>
      </c>
      <c r="N6" s="93">
        <v>5.5</v>
      </c>
      <c r="P6" s="103">
        <v>24.5</v>
      </c>
      <c r="Q6" s="94">
        <v>5.4</v>
      </c>
      <c r="S6" s="106">
        <v>1330</v>
      </c>
      <c r="T6" s="105">
        <v>1.2</v>
      </c>
      <c r="V6" s="104">
        <v>1255</v>
      </c>
      <c r="W6" s="105">
        <v>1.2</v>
      </c>
      <c r="Y6" s="106">
        <v>82</v>
      </c>
      <c r="Z6" s="105">
        <v>1.2</v>
      </c>
      <c r="AB6" s="106">
        <v>72</v>
      </c>
      <c r="AC6" s="105">
        <v>1.2</v>
      </c>
      <c r="AE6" s="106">
        <v>210</v>
      </c>
      <c r="AF6" s="105">
        <v>1.2</v>
      </c>
      <c r="AH6" s="234">
        <v>204</v>
      </c>
      <c r="AI6" s="105">
        <v>1.2</v>
      </c>
      <c r="AK6" s="107">
        <v>7</v>
      </c>
      <c r="AL6" s="105">
        <v>1.2</v>
      </c>
      <c r="AN6" s="236">
        <v>7.4</v>
      </c>
      <c r="AO6" s="105">
        <v>1.2</v>
      </c>
      <c r="AQ6" s="161">
        <v>3.2</v>
      </c>
      <c r="AR6" s="105">
        <v>1.2</v>
      </c>
      <c r="AT6" s="161">
        <v>2.2000000000000002</v>
      </c>
      <c r="AU6" s="105">
        <v>1.2</v>
      </c>
      <c r="AW6" s="107">
        <v>5.24</v>
      </c>
      <c r="AX6" s="105">
        <v>1.2</v>
      </c>
      <c r="AZ6" s="107">
        <v>5.52</v>
      </c>
      <c r="BA6" s="105">
        <v>1.2</v>
      </c>
    </row>
    <row r="7" spans="1:53" x14ac:dyDescent="0.3">
      <c r="A7" s="107">
        <v>13</v>
      </c>
      <c r="B7" s="105">
        <v>1.3</v>
      </c>
      <c r="D7" s="107">
        <v>13.5</v>
      </c>
      <c r="E7" s="105">
        <v>1.3</v>
      </c>
      <c r="G7" s="107">
        <v>16.8</v>
      </c>
      <c r="H7" s="105">
        <v>1.3</v>
      </c>
      <c r="J7" s="107">
        <v>16.579999999999998</v>
      </c>
      <c r="K7" s="105">
        <v>1.3</v>
      </c>
      <c r="M7" s="105">
        <v>26</v>
      </c>
      <c r="N7" s="93">
        <v>5.3</v>
      </c>
      <c r="P7" s="103">
        <v>24</v>
      </c>
      <c r="Q7" s="94">
        <v>5.0999999999999996</v>
      </c>
      <c r="S7" s="104">
        <v>1370</v>
      </c>
      <c r="T7" s="105">
        <v>1.3</v>
      </c>
      <c r="V7" s="104">
        <v>1295</v>
      </c>
      <c r="W7" s="105">
        <v>1.3</v>
      </c>
      <c r="Y7" s="106">
        <v>83</v>
      </c>
      <c r="Z7" s="105">
        <v>1.3</v>
      </c>
      <c r="AB7" s="106">
        <v>73</v>
      </c>
      <c r="AC7" s="105">
        <v>1.3</v>
      </c>
      <c r="AE7" s="106">
        <v>215</v>
      </c>
      <c r="AF7" s="105">
        <v>1.3</v>
      </c>
      <c r="AH7" s="234">
        <v>209</v>
      </c>
      <c r="AI7" s="105">
        <v>1.3</v>
      </c>
      <c r="AK7" s="101">
        <v>7.5</v>
      </c>
      <c r="AL7" s="105">
        <v>1.3</v>
      </c>
      <c r="AN7" s="236">
        <v>7.6</v>
      </c>
      <c r="AO7" s="105">
        <v>1.3</v>
      </c>
      <c r="AQ7" s="161">
        <v>3.3</v>
      </c>
      <c r="AR7" s="105">
        <v>1.3</v>
      </c>
      <c r="AT7" s="161">
        <v>2.2999999999999998</v>
      </c>
      <c r="AU7" s="105">
        <v>1.3</v>
      </c>
      <c r="AW7" s="101">
        <v>5.56</v>
      </c>
      <c r="AX7" s="105">
        <v>1.3</v>
      </c>
      <c r="AZ7" s="101">
        <v>5.68</v>
      </c>
      <c r="BA7" s="105">
        <v>1.3</v>
      </c>
    </row>
    <row r="8" spans="1:53" x14ac:dyDescent="0.3">
      <c r="A8" s="107">
        <v>12.85</v>
      </c>
      <c r="B8" s="105">
        <v>1.4</v>
      </c>
      <c r="D8" s="101">
        <v>13.35</v>
      </c>
      <c r="E8" s="105">
        <v>1.4</v>
      </c>
      <c r="G8" s="107">
        <v>16.649999999999999</v>
      </c>
      <c r="H8" s="105">
        <v>1.4</v>
      </c>
      <c r="J8" s="107">
        <v>16.489999999999998</v>
      </c>
      <c r="K8" s="105">
        <v>1.4</v>
      </c>
      <c r="M8" s="105">
        <v>25.5</v>
      </c>
      <c r="N8" s="93">
        <v>5</v>
      </c>
      <c r="P8" s="103">
        <v>23.5</v>
      </c>
      <c r="Q8" s="94">
        <v>4.8</v>
      </c>
      <c r="S8" s="104">
        <v>1410</v>
      </c>
      <c r="T8" s="105">
        <v>1.4</v>
      </c>
      <c r="V8" s="104">
        <v>1335</v>
      </c>
      <c r="W8" s="105">
        <v>1.4</v>
      </c>
      <c r="Y8" s="106">
        <v>84</v>
      </c>
      <c r="Z8" s="105">
        <v>1.4</v>
      </c>
      <c r="AB8" s="104">
        <v>74</v>
      </c>
      <c r="AC8" s="105">
        <v>1.4</v>
      </c>
      <c r="AE8" s="104">
        <v>220</v>
      </c>
      <c r="AF8" s="105">
        <v>1.4</v>
      </c>
      <c r="AH8" s="234">
        <v>213</v>
      </c>
      <c r="AI8" s="105">
        <v>1.4</v>
      </c>
      <c r="AK8" s="101">
        <v>8</v>
      </c>
      <c r="AL8" s="105">
        <v>1.4</v>
      </c>
      <c r="AN8" s="236">
        <v>7.8</v>
      </c>
      <c r="AO8" s="105">
        <v>1.4</v>
      </c>
      <c r="AQ8" s="161">
        <v>3.4</v>
      </c>
      <c r="AR8" s="105">
        <v>1.4</v>
      </c>
      <c r="AT8" s="236">
        <v>2.4</v>
      </c>
      <c r="AU8" s="105">
        <v>1.4</v>
      </c>
      <c r="AW8" s="101">
        <v>5.88</v>
      </c>
      <c r="AX8" s="105">
        <v>1.4</v>
      </c>
      <c r="AZ8" s="101">
        <v>5.84</v>
      </c>
      <c r="BA8" s="105">
        <v>1.4</v>
      </c>
    </row>
    <row r="9" spans="1:53" x14ac:dyDescent="0.3">
      <c r="A9" s="107">
        <v>12.7</v>
      </c>
      <c r="B9" s="105">
        <v>1.5</v>
      </c>
      <c r="D9" s="107">
        <v>13.2</v>
      </c>
      <c r="E9" s="105">
        <v>1.5</v>
      </c>
      <c r="G9" s="107">
        <v>16.5</v>
      </c>
      <c r="H9" s="105">
        <v>1.5</v>
      </c>
      <c r="J9" s="107">
        <v>16.399999999999999</v>
      </c>
      <c r="K9" s="105">
        <v>1.5</v>
      </c>
      <c r="M9" s="105">
        <v>25</v>
      </c>
      <c r="N9" s="93">
        <v>4.8</v>
      </c>
      <c r="P9" s="103">
        <v>23</v>
      </c>
      <c r="Q9" s="94">
        <v>4.5</v>
      </c>
      <c r="S9" s="106">
        <v>1450</v>
      </c>
      <c r="T9" s="105">
        <v>1.5</v>
      </c>
      <c r="V9" s="104">
        <v>1375</v>
      </c>
      <c r="W9" s="105">
        <v>1.5</v>
      </c>
      <c r="Y9" s="106">
        <v>85</v>
      </c>
      <c r="Z9" s="105">
        <v>1.5</v>
      </c>
      <c r="AB9" s="106">
        <v>75</v>
      </c>
      <c r="AC9" s="105">
        <v>1.5</v>
      </c>
      <c r="AE9" s="106">
        <v>225</v>
      </c>
      <c r="AF9" s="105">
        <v>1.5</v>
      </c>
      <c r="AH9" s="234">
        <v>218</v>
      </c>
      <c r="AI9" s="105">
        <v>1.5</v>
      </c>
      <c r="AK9" s="107">
        <v>8.5</v>
      </c>
      <c r="AL9" s="105">
        <v>1.5</v>
      </c>
      <c r="AN9" s="236">
        <v>8</v>
      </c>
      <c r="AO9" s="105">
        <v>1.5</v>
      </c>
      <c r="AQ9" s="161">
        <v>3.5</v>
      </c>
      <c r="AR9" s="105">
        <v>1.5</v>
      </c>
      <c r="AT9" s="161">
        <v>2.5</v>
      </c>
      <c r="AU9" s="105">
        <v>1.5</v>
      </c>
      <c r="AW9" s="107">
        <v>6.2</v>
      </c>
      <c r="AX9" s="105">
        <v>1.5</v>
      </c>
      <c r="AZ9" s="107">
        <v>6</v>
      </c>
      <c r="BA9" s="105">
        <v>1.5</v>
      </c>
    </row>
    <row r="10" spans="1:53" x14ac:dyDescent="0.3">
      <c r="A10" s="107">
        <v>12.55</v>
      </c>
      <c r="B10" s="105">
        <v>1.6</v>
      </c>
      <c r="D10" s="107">
        <v>13.05</v>
      </c>
      <c r="E10" s="105">
        <v>1.6</v>
      </c>
      <c r="G10" s="107">
        <v>16.350000000000001</v>
      </c>
      <c r="H10" s="105">
        <v>1.6</v>
      </c>
      <c r="J10" s="107">
        <v>16.309999999999999</v>
      </c>
      <c r="K10" s="105">
        <v>1.6</v>
      </c>
      <c r="M10" s="105">
        <v>24.5</v>
      </c>
      <c r="N10" s="93">
        <v>4.7</v>
      </c>
      <c r="P10" s="103">
        <v>22.5</v>
      </c>
      <c r="Q10" s="94">
        <v>4.3</v>
      </c>
      <c r="S10" s="104">
        <v>1490</v>
      </c>
      <c r="T10" s="105">
        <v>1.6</v>
      </c>
      <c r="V10" s="104">
        <v>1415</v>
      </c>
      <c r="W10" s="105">
        <v>1.6</v>
      </c>
      <c r="Y10" s="106">
        <v>86</v>
      </c>
      <c r="Z10" s="105">
        <v>1.6</v>
      </c>
      <c r="AB10" s="106">
        <v>76</v>
      </c>
      <c r="AC10" s="105">
        <v>1.6</v>
      </c>
      <c r="AE10" s="106">
        <v>230</v>
      </c>
      <c r="AF10" s="105">
        <v>1.6</v>
      </c>
      <c r="AH10" s="234">
        <v>222</v>
      </c>
      <c r="AI10" s="105">
        <v>1.6</v>
      </c>
      <c r="AK10" s="101">
        <v>9</v>
      </c>
      <c r="AL10" s="105">
        <v>1.6</v>
      </c>
      <c r="AN10" s="236">
        <v>8.1999999999999993</v>
      </c>
      <c r="AO10" s="105">
        <v>1.6</v>
      </c>
      <c r="AQ10" s="161">
        <v>3.6</v>
      </c>
      <c r="AR10" s="105">
        <v>1.6</v>
      </c>
      <c r="AT10" s="161">
        <v>2.6</v>
      </c>
      <c r="AU10" s="105">
        <v>1.6</v>
      </c>
      <c r="AW10" s="101">
        <v>6.52</v>
      </c>
      <c r="AX10" s="105">
        <v>1.6</v>
      </c>
      <c r="AZ10" s="101">
        <v>6.16</v>
      </c>
      <c r="BA10" s="105">
        <v>1.6</v>
      </c>
    </row>
    <row r="11" spans="1:53" x14ac:dyDescent="0.3">
      <c r="A11" s="107">
        <v>12.4</v>
      </c>
      <c r="B11" s="105">
        <v>1.7</v>
      </c>
      <c r="D11" s="101">
        <v>12.9</v>
      </c>
      <c r="E11" s="105">
        <v>1.7</v>
      </c>
      <c r="G11" s="107">
        <v>16.2</v>
      </c>
      <c r="H11" s="105">
        <v>1.7</v>
      </c>
      <c r="J11" s="107">
        <v>16.22</v>
      </c>
      <c r="K11" s="105">
        <v>1.7</v>
      </c>
      <c r="M11" s="105">
        <v>24</v>
      </c>
      <c r="N11" s="93">
        <v>4.5</v>
      </c>
      <c r="P11" s="103">
        <v>22</v>
      </c>
      <c r="Q11" s="94">
        <v>4</v>
      </c>
      <c r="S11" s="104">
        <v>1530</v>
      </c>
      <c r="T11" s="105">
        <v>1.7</v>
      </c>
      <c r="V11" s="104">
        <v>1455</v>
      </c>
      <c r="W11" s="105">
        <v>1.7</v>
      </c>
      <c r="Y11" s="106">
        <v>87</v>
      </c>
      <c r="Z11" s="105">
        <v>1.7</v>
      </c>
      <c r="AB11" s="104">
        <v>77</v>
      </c>
      <c r="AC11" s="105">
        <v>1.7</v>
      </c>
      <c r="AE11" s="104">
        <v>235</v>
      </c>
      <c r="AF11" s="105">
        <v>1.7</v>
      </c>
      <c r="AH11" s="234">
        <v>227</v>
      </c>
      <c r="AI11" s="105">
        <v>1.7</v>
      </c>
      <c r="AK11" s="101">
        <v>9.5</v>
      </c>
      <c r="AL11" s="105">
        <v>1.7</v>
      </c>
      <c r="AN11" s="236">
        <v>8.4</v>
      </c>
      <c r="AO11" s="105">
        <v>1.7</v>
      </c>
      <c r="AQ11" s="161">
        <v>3.7</v>
      </c>
      <c r="AR11" s="105">
        <v>1.7</v>
      </c>
      <c r="AT11" s="236">
        <v>2.7</v>
      </c>
      <c r="AU11" s="105">
        <v>1.7</v>
      </c>
      <c r="AW11" s="101">
        <v>6.84</v>
      </c>
      <c r="AX11" s="105">
        <v>1.7</v>
      </c>
      <c r="AZ11" s="101">
        <v>6.32</v>
      </c>
      <c r="BA11" s="105">
        <v>1.7</v>
      </c>
    </row>
    <row r="12" spans="1:53" x14ac:dyDescent="0.3">
      <c r="A12" s="107">
        <v>12.25</v>
      </c>
      <c r="B12" s="105">
        <v>1.8</v>
      </c>
      <c r="D12" s="107">
        <v>12.75</v>
      </c>
      <c r="E12" s="105">
        <v>1.8</v>
      </c>
      <c r="G12" s="107">
        <v>16.05</v>
      </c>
      <c r="H12" s="105">
        <v>1.8</v>
      </c>
      <c r="J12" s="107">
        <v>16.13</v>
      </c>
      <c r="K12" s="105">
        <v>1.8</v>
      </c>
      <c r="M12" s="105">
        <v>23.5</v>
      </c>
      <c r="N12" s="93">
        <v>4.4000000000000004</v>
      </c>
      <c r="P12" s="103">
        <v>21.5</v>
      </c>
      <c r="Q12" s="94">
        <v>3.8</v>
      </c>
      <c r="S12" s="106">
        <v>1570</v>
      </c>
      <c r="T12" s="105">
        <v>1.8</v>
      </c>
      <c r="V12" s="104">
        <v>1495</v>
      </c>
      <c r="W12" s="105">
        <v>1.8</v>
      </c>
      <c r="Y12" s="106">
        <v>88</v>
      </c>
      <c r="Z12" s="105">
        <v>1.8</v>
      </c>
      <c r="AB12" s="106">
        <v>78</v>
      </c>
      <c r="AC12" s="105">
        <v>1.8</v>
      </c>
      <c r="AE12" s="106">
        <v>240</v>
      </c>
      <c r="AF12" s="105">
        <v>1.8</v>
      </c>
      <c r="AH12" s="234">
        <v>231</v>
      </c>
      <c r="AI12" s="105">
        <v>1.8</v>
      </c>
      <c r="AK12" s="107">
        <v>10</v>
      </c>
      <c r="AL12" s="105">
        <v>1.8</v>
      </c>
      <c r="AN12" s="236">
        <v>8.6</v>
      </c>
      <c r="AO12" s="105">
        <v>1.8</v>
      </c>
      <c r="AQ12" s="161">
        <v>3.8</v>
      </c>
      <c r="AR12" s="105">
        <v>1.8</v>
      </c>
      <c r="AT12" s="161">
        <v>2.8</v>
      </c>
      <c r="AU12" s="105">
        <v>1.8</v>
      </c>
      <c r="AW12" s="107">
        <v>7.16</v>
      </c>
      <c r="AX12" s="105">
        <v>1.8</v>
      </c>
      <c r="AZ12" s="107">
        <v>6.48</v>
      </c>
      <c r="BA12" s="105">
        <v>1.8</v>
      </c>
    </row>
    <row r="13" spans="1:53" x14ac:dyDescent="0.3">
      <c r="A13" s="107">
        <v>12.1</v>
      </c>
      <c r="B13" s="105">
        <v>1.9</v>
      </c>
      <c r="D13" s="107">
        <v>12.6</v>
      </c>
      <c r="E13" s="105">
        <v>1.9</v>
      </c>
      <c r="G13" s="107">
        <v>15.9</v>
      </c>
      <c r="H13" s="105">
        <v>1.9</v>
      </c>
      <c r="J13" s="107">
        <v>16.04</v>
      </c>
      <c r="K13" s="105">
        <v>1.9</v>
      </c>
      <c r="M13" s="105">
        <v>23</v>
      </c>
      <c r="N13" s="93">
        <v>4.2</v>
      </c>
      <c r="P13" s="103">
        <v>21</v>
      </c>
      <c r="Q13" s="94">
        <v>3.5</v>
      </c>
      <c r="S13" s="104">
        <v>1610</v>
      </c>
      <c r="T13" s="105">
        <v>1.9</v>
      </c>
      <c r="V13" s="104">
        <v>1535</v>
      </c>
      <c r="W13" s="105">
        <v>1.9</v>
      </c>
      <c r="Y13" s="106">
        <v>89</v>
      </c>
      <c r="Z13" s="105">
        <v>1.9</v>
      </c>
      <c r="AB13" s="106">
        <v>79</v>
      </c>
      <c r="AC13" s="105">
        <v>1.9</v>
      </c>
      <c r="AE13" s="106">
        <v>245</v>
      </c>
      <c r="AF13" s="105">
        <v>1.9</v>
      </c>
      <c r="AH13" s="234">
        <v>236</v>
      </c>
      <c r="AI13" s="105">
        <v>1.9</v>
      </c>
      <c r="AK13" s="101">
        <v>10.5</v>
      </c>
      <c r="AL13" s="105">
        <v>1.9</v>
      </c>
      <c r="AN13" s="236">
        <v>8.8000000000000007</v>
      </c>
      <c r="AO13" s="105">
        <v>1.9</v>
      </c>
      <c r="AQ13" s="161">
        <v>3.9</v>
      </c>
      <c r="AR13" s="105">
        <v>1.9</v>
      </c>
      <c r="AT13" s="161">
        <v>2.9</v>
      </c>
      <c r="AU13" s="105">
        <v>1.9</v>
      </c>
      <c r="AW13" s="101">
        <v>7.48</v>
      </c>
      <c r="AX13" s="105">
        <v>1.9</v>
      </c>
      <c r="AZ13" s="101">
        <v>6.64</v>
      </c>
      <c r="BA13" s="105">
        <v>1.9</v>
      </c>
    </row>
    <row r="14" spans="1:53" x14ac:dyDescent="0.3">
      <c r="A14" s="107">
        <v>11.95</v>
      </c>
      <c r="B14" s="105">
        <v>2</v>
      </c>
      <c r="D14" s="101">
        <v>12.45</v>
      </c>
      <c r="E14" s="105">
        <v>2</v>
      </c>
      <c r="G14" s="101">
        <v>15.75</v>
      </c>
      <c r="H14" s="105">
        <v>2</v>
      </c>
      <c r="J14" s="107">
        <v>15.95</v>
      </c>
      <c r="K14" s="105">
        <v>2</v>
      </c>
      <c r="M14" s="105">
        <v>22.5</v>
      </c>
      <c r="N14" s="93">
        <v>4</v>
      </c>
      <c r="P14" s="103">
        <v>20.5</v>
      </c>
      <c r="Q14" s="94">
        <v>3.3</v>
      </c>
      <c r="S14" s="104">
        <v>1650</v>
      </c>
      <c r="T14" s="105">
        <v>2</v>
      </c>
      <c r="V14" s="104">
        <v>1575</v>
      </c>
      <c r="W14" s="105">
        <v>2</v>
      </c>
      <c r="Y14" s="106">
        <v>90</v>
      </c>
      <c r="Z14" s="105">
        <v>2</v>
      </c>
      <c r="AB14" s="104">
        <v>80</v>
      </c>
      <c r="AC14" s="105">
        <v>2</v>
      </c>
      <c r="AE14" s="104">
        <v>250</v>
      </c>
      <c r="AF14" s="105">
        <v>2</v>
      </c>
      <c r="AH14" s="234">
        <v>240</v>
      </c>
      <c r="AI14" s="105">
        <v>2</v>
      </c>
      <c r="AK14" s="101">
        <v>11</v>
      </c>
      <c r="AL14" s="105">
        <v>2</v>
      </c>
      <c r="AN14" s="236">
        <v>9</v>
      </c>
      <c r="AO14" s="105">
        <v>2</v>
      </c>
      <c r="AQ14" s="161">
        <v>4</v>
      </c>
      <c r="AR14" s="105">
        <v>2</v>
      </c>
      <c r="AT14" s="236">
        <v>3</v>
      </c>
      <c r="AU14" s="105">
        <v>2</v>
      </c>
      <c r="AW14" s="101">
        <v>7.8</v>
      </c>
      <c r="AX14" s="105">
        <v>2</v>
      </c>
      <c r="AZ14" s="101">
        <v>6.8</v>
      </c>
      <c r="BA14" s="105">
        <v>2</v>
      </c>
    </row>
    <row r="15" spans="1:53" x14ac:dyDescent="0.3">
      <c r="A15" s="107">
        <v>11.85</v>
      </c>
      <c r="B15" s="105">
        <v>2.1</v>
      </c>
      <c r="D15" s="107">
        <v>12.35</v>
      </c>
      <c r="E15" s="105">
        <v>2.1</v>
      </c>
      <c r="G15" s="107">
        <v>15.6</v>
      </c>
      <c r="H15" s="105">
        <v>2.1</v>
      </c>
      <c r="J15" s="107">
        <v>15.86</v>
      </c>
      <c r="K15" s="105">
        <v>2.1</v>
      </c>
      <c r="M15" s="105">
        <v>22</v>
      </c>
      <c r="N15" s="93">
        <v>3.8</v>
      </c>
      <c r="P15" s="103">
        <v>20</v>
      </c>
      <c r="Q15" s="94">
        <v>3.1</v>
      </c>
      <c r="S15" s="106">
        <v>1690</v>
      </c>
      <c r="T15" s="105">
        <v>2.1</v>
      </c>
      <c r="V15" s="104">
        <v>1615</v>
      </c>
      <c r="W15" s="105">
        <v>2.1</v>
      </c>
      <c r="Y15" s="106">
        <v>91</v>
      </c>
      <c r="Z15" s="105">
        <v>2.1</v>
      </c>
      <c r="AB15" s="106">
        <v>81</v>
      </c>
      <c r="AC15" s="105">
        <v>2.1</v>
      </c>
      <c r="AE15" s="106">
        <v>255</v>
      </c>
      <c r="AF15" s="105">
        <v>2.1</v>
      </c>
      <c r="AH15" s="234">
        <v>245</v>
      </c>
      <c r="AI15" s="105">
        <v>2.1</v>
      </c>
      <c r="AK15" s="107">
        <v>11.5</v>
      </c>
      <c r="AL15" s="105">
        <v>2.1</v>
      </c>
      <c r="AN15" s="236">
        <v>9.1999999999999993</v>
      </c>
      <c r="AO15" s="105">
        <v>2.1</v>
      </c>
      <c r="AQ15" s="161">
        <v>4.0999999999999996</v>
      </c>
      <c r="AR15" s="105">
        <v>2.1</v>
      </c>
      <c r="AT15" s="161">
        <v>3.1</v>
      </c>
      <c r="AU15" s="105">
        <v>2.1</v>
      </c>
      <c r="AW15" s="107">
        <v>8.1199999999999992</v>
      </c>
      <c r="AX15" s="105">
        <v>2.1</v>
      </c>
      <c r="AZ15" s="107">
        <v>6.96</v>
      </c>
      <c r="BA15" s="105">
        <v>2.1</v>
      </c>
    </row>
    <row r="16" spans="1:53" x14ac:dyDescent="0.3">
      <c r="A16" s="107">
        <v>11.75</v>
      </c>
      <c r="B16" s="105">
        <v>2.2000000000000002</v>
      </c>
      <c r="D16" s="107">
        <v>12.25</v>
      </c>
      <c r="E16" s="105">
        <v>2.2000000000000002</v>
      </c>
      <c r="G16" s="107">
        <v>15.45</v>
      </c>
      <c r="H16" s="105">
        <v>2.2000000000000002</v>
      </c>
      <c r="J16" s="107">
        <v>15.77</v>
      </c>
      <c r="K16" s="105">
        <v>2.2000000000000002</v>
      </c>
      <c r="M16" s="105">
        <v>21.5</v>
      </c>
      <c r="N16" s="93">
        <v>3.5</v>
      </c>
      <c r="P16" s="103">
        <v>19.5</v>
      </c>
      <c r="Q16" s="94">
        <v>2.9</v>
      </c>
      <c r="S16" s="104">
        <v>1730</v>
      </c>
      <c r="T16" s="105">
        <v>2.2000000000000002</v>
      </c>
      <c r="V16" s="104">
        <v>1655</v>
      </c>
      <c r="W16" s="105">
        <v>2.2000000000000002</v>
      </c>
      <c r="Y16" s="106">
        <v>92</v>
      </c>
      <c r="Z16" s="105">
        <v>2.2000000000000002</v>
      </c>
      <c r="AB16" s="106">
        <v>82</v>
      </c>
      <c r="AC16" s="105">
        <v>2.2000000000000002</v>
      </c>
      <c r="AE16" s="106">
        <v>260</v>
      </c>
      <c r="AF16" s="105">
        <v>2.2000000000000002</v>
      </c>
      <c r="AH16" s="234">
        <v>249</v>
      </c>
      <c r="AI16" s="105">
        <v>2.2000000000000002</v>
      </c>
      <c r="AK16" s="101">
        <v>12</v>
      </c>
      <c r="AL16" s="105">
        <v>2.2000000000000002</v>
      </c>
      <c r="AN16" s="236">
        <v>9.4</v>
      </c>
      <c r="AO16" s="105">
        <v>2.2000000000000002</v>
      </c>
      <c r="AQ16" s="161">
        <v>4.2</v>
      </c>
      <c r="AR16" s="105">
        <v>2.2000000000000002</v>
      </c>
      <c r="AT16" s="161">
        <v>3.2</v>
      </c>
      <c r="AU16" s="105">
        <v>2.2000000000000002</v>
      </c>
      <c r="AW16" s="101">
        <v>8.44</v>
      </c>
      <c r="AX16" s="105">
        <v>2.2000000000000002</v>
      </c>
      <c r="AZ16" s="101">
        <v>7.12</v>
      </c>
      <c r="BA16" s="105">
        <v>2.2000000000000002</v>
      </c>
    </row>
    <row r="17" spans="1:53" x14ac:dyDescent="0.3">
      <c r="A17" s="107">
        <v>11.65</v>
      </c>
      <c r="B17" s="105">
        <v>2.2999999999999998</v>
      </c>
      <c r="D17" s="107">
        <v>12.15</v>
      </c>
      <c r="E17" s="105">
        <v>2.2999999999999998</v>
      </c>
      <c r="G17" s="107">
        <v>15.3</v>
      </c>
      <c r="H17" s="105">
        <v>2.2999999999999998</v>
      </c>
      <c r="J17" s="107">
        <v>15.68</v>
      </c>
      <c r="K17" s="105">
        <v>2.2999999999999998</v>
      </c>
      <c r="M17" s="105">
        <v>21</v>
      </c>
      <c r="N17" s="93">
        <v>3.3</v>
      </c>
      <c r="P17" s="103">
        <v>19</v>
      </c>
      <c r="Q17" s="94">
        <v>2.8</v>
      </c>
      <c r="S17" s="106">
        <v>1770</v>
      </c>
      <c r="T17" s="105">
        <v>2.2999999999999998</v>
      </c>
      <c r="V17" s="104">
        <v>1695</v>
      </c>
      <c r="W17" s="105">
        <v>2.2999999999999998</v>
      </c>
      <c r="Y17" s="106">
        <v>93</v>
      </c>
      <c r="Z17" s="105">
        <v>2.2999999999999998</v>
      </c>
      <c r="AB17" s="106">
        <v>83</v>
      </c>
      <c r="AC17" s="105">
        <v>2.2999999999999998</v>
      </c>
      <c r="AE17" s="106">
        <v>265</v>
      </c>
      <c r="AF17" s="105">
        <v>2.2999999999999998</v>
      </c>
      <c r="AH17" s="235">
        <v>254</v>
      </c>
      <c r="AI17" s="105">
        <v>2.2999999999999998</v>
      </c>
      <c r="AK17" s="101">
        <v>12.5</v>
      </c>
      <c r="AL17" s="105">
        <v>2.2999999999999998</v>
      </c>
      <c r="AN17" s="107">
        <v>9.6</v>
      </c>
      <c r="AO17" s="105">
        <v>2.2999999999999998</v>
      </c>
      <c r="AQ17" s="161">
        <v>4.3</v>
      </c>
      <c r="AR17" s="105">
        <v>2.2999999999999998</v>
      </c>
      <c r="AT17" s="161">
        <v>3.3</v>
      </c>
      <c r="AU17" s="105">
        <v>2.2999999999999998</v>
      </c>
      <c r="AW17" s="101">
        <v>8.76</v>
      </c>
      <c r="AX17" s="105">
        <v>2.2999999999999998</v>
      </c>
      <c r="AZ17" s="101">
        <v>7.28</v>
      </c>
      <c r="BA17" s="105">
        <v>2.2999999999999998</v>
      </c>
    </row>
    <row r="18" spans="1:53" x14ac:dyDescent="0.3">
      <c r="A18" s="107">
        <v>11.55</v>
      </c>
      <c r="B18" s="105">
        <v>2.4</v>
      </c>
      <c r="D18" s="107">
        <v>12.05</v>
      </c>
      <c r="E18" s="105">
        <v>2.4</v>
      </c>
      <c r="G18" s="107">
        <v>15.15</v>
      </c>
      <c r="H18" s="105">
        <v>2.4</v>
      </c>
      <c r="J18" s="107">
        <v>15.59</v>
      </c>
      <c r="K18" s="105">
        <v>2.4</v>
      </c>
      <c r="M18" s="105">
        <v>20.5</v>
      </c>
      <c r="N18" s="93">
        <v>3</v>
      </c>
      <c r="P18" s="103">
        <v>18.5</v>
      </c>
      <c r="Q18" s="94">
        <v>2.7</v>
      </c>
      <c r="S18" s="106">
        <v>1810</v>
      </c>
      <c r="T18" s="105">
        <v>2.4</v>
      </c>
      <c r="V18" s="104">
        <v>1735</v>
      </c>
      <c r="W18" s="105">
        <v>2.4</v>
      </c>
      <c r="Y18" s="106">
        <v>94</v>
      </c>
      <c r="Z18" s="105">
        <v>2.4</v>
      </c>
      <c r="AB18" s="106">
        <v>84</v>
      </c>
      <c r="AC18" s="105">
        <v>2.4</v>
      </c>
      <c r="AE18" s="106">
        <v>270</v>
      </c>
      <c r="AF18" s="105">
        <v>2.4</v>
      </c>
      <c r="AH18" s="234">
        <v>258</v>
      </c>
      <c r="AI18" s="105">
        <v>2.4</v>
      </c>
      <c r="AK18" s="107">
        <v>13</v>
      </c>
      <c r="AL18" s="105">
        <v>2.4</v>
      </c>
      <c r="AN18" s="107">
        <v>9.8000000000000007</v>
      </c>
      <c r="AO18" s="105">
        <v>2.4</v>
      </c>
      <c r="AQ18" s="161">
        <v>4.4000000000000004</v>
      </c>
      <c r="AR18" s="105">
        <v>2.4</v>
      </c>
      <c r="AT18" s="161">
        <v>3.4</v>
      </c>
      <c r="AU18" s="105">
        <v>2.4</v>
      </c>
      <c r="AW18" s="107">
        <v>9.08</v>
      </c>
      <c r="AX18" s="105">
        <v>2.4</v>
      </c>
      <c r="AZ18" s="107">
        <v>7.44</v>
      </c>
      <c r="BA18" s="105">
        <v>2.4</v>
      </c>
    </row>
    <row r="19" spans="1:53" x14ac:dyDescent="0.3">
      <c r="A19" s="107">
        <v>11.45</v>
      </c>
      <c r="B19" s="105">
        <v>2.5</v>
      </c>
      <c r="D19" s="107">
        <v>11.95</v>
      </c>
      <c r="E19" s="105">
        <v>2.5</v>
      </c>
      <c r="G19" s="107">
        <v>15</v>
      </c>
      <c r="H19" s="105">
        <v>2.5</v>
      </c>
      <c r="J19" s="107">
        <v>15.5</v>
      </c>
      <c r="K19" s="105">
        <v>2.5</v>
      </c>
      <c r="M19" s="105">
        <v>20</v>
      </c>
      <c r="N19" s="93">
        <v>2.9</v>
      </c>
      <c r="P19" s="103">
        <v>18</v>
      </c>
      <c r="Q19" s="94">
        <v>2.6</v>
      </c>
      <c r="S19" s="104">
        <v>1850</v>
      </c>
      <c r="T19" s="105">
        <v>2.5</v>
      </c>
      <c r="V19" s="104">
        <v>1775</v>
      </c>
      <c r="W19" s="105">
        <v>2.5</v>
      </c>
      <c r="Y19" s="106">
        <v>95</v>
      </c>
      <c r="Z19" s="105">
        <v>2.5</v>
      </c>
      <c r="AB19" s="106">
        <v>85</v>
      </c>
      <c r="AC19" s="105">
        <v>2.5</v>
      </c>
      <c r="AE19" s="106">
        <v>275</v>
      </c>
      <c r="AF19" s="105">
        <v>2.5</v>
      </c>
      <c r="AH19" s="234">
        <v>263</v>
      </c>
      <c r="AI19" s="105">
        <v>2.5</v>
      </c>
      <c r="AK19" s="101">
        <v>13.5</v>
      </c>
      <c r="AL19" s="105">
        <v>2.5</v>
      </c>
      <c r="AN19" s="101">
        <v>10</v>
      </c>
      <c r="AO19" s="105">
        <v>2.5</v>
      </c>
      <c r="AQ19" s="161">
        <v>4.5</v>
      </c>
      <c r="AR19" s="105">
        <v>2.5</v>
      </c>
      <c r="AT19" s="161">
        <v>3.5</v>
      </c>
      <c r="AU19" s="105">
        <v>2.5</v>
      </c>
      <c r="AW19" s="101">
        <v>9.4</v>
      </c>
      <c r="AX19" s="105">
        <v>2.5</v>
      </c>
      <c r="AZ19" s="101">
        <v>7.6</v>
      </c>
      <c r="BA19" s="105">
        <v>2.5</v>
      </c>
    </row>
    <row r="20" spans="1:53" x14ac:dyDescent="0.3">
      <c r="A20" s="107">
        <v>11.35</v>
      </c>
      <c r="B20" s="105">
        <v>2.6</v>
      </c>
      <c r="D20" s="107">
        <v>11.85</v>
      </c>
      <c r="E20" s="105">
        <v>2.6</v>
      </c>
      <c r="G20" s="107">
        <v>14.85</v>
      </c>
      <c r="H20" s="105">
        <v>2.6</v>
      </c>
      <c r="J20" s="107">
        <v>15.41</v>
      </c>
      <c r="K20" s="105">
        <v>2.6</v>
      </c>
      <c r="M20" s="105">
        <v>19.5</v>
      </c>
      <c r="N20" s="93">
        <v>2.8</v>
      </c>
      <c r="P20" s="103">
        <v>17.5</v>
      </c>
      <c r="Q20" s="94">
        <v>2.4</v>
      </c>
      <c r="S20" s="104">
        <v>1890</v>
      </c>
      <c r="T20" s="105">
        <v>2.6</v>
      </c>
      <c r="V20" s="104">
        <v>1815</v>
      </c>
      <c r="W20" s="105">
        <v>2.6</v>
      </c>
      <c r="Y20" s="106">
        <v>96</v>
      </c>
      <c r="Z20" s="105">
        <v>2.6</v>
      </c>
      <c r="AB20" s="106">
        <v>86</v>
      </c>
      <c r="AC20" s="105">
        <v>2.6</v>
      </c>
      <c r="AE20" s="106">
        <v>280</v>
      </c>
      <c r="AF20" s="105">
        <v>2.6</v>
      </c>
      <c r="AH20" s="235">
        <v>267</v>
      </c>
      <c r="AI20" s="105">
        <v>2.6</v>
      </c>
      <c r="AK20" s="101">
        <v>14</v>
      </c>
      <c r="AL20" s="105">
        <v>2.6</v>
      </c>
      <c r="AN20" s="101">
        <v>10.199999999999999</v>
      </c>
      <c r="AO20" s="105">
        <v>2.6</v>
      </c>
      <c r="AQ20" s="161">
        <v>4.5999999999999996</v>
      </c>
      <c r="AR20" s="105">
        <v>2.6</v>
      </c>
      <c r="AT20" s="161">
        <v>3.6</v>
      </c>
      <c r="AU20" s="105">
        <v>2.6</v>
      </c>
      <c r="AW20" s="101">
        <v>9.7200000000000006</v>
      </c>
      <c r="AX20" s="105">
        <v>2.6</v>
      </c>
      <c r="AZ20" s="101">
        <v>7.76</v>
      </c>
      <c r="BA20" s="105">
        <v>2.6</v>
      </c>
    </row>
    <row r="21" spans="1:53" x14ac:dyDescent="0.3">
      <c r="A21" s="107">
        <v>11.25</v>
      </c>
      <c r="B21" s="105">
        <v>2.7</v>
      </c>
      <c r="D21" s="107">
        <v>11.75</v>
      </c>
      <c r="E21" s="105">
        <v>2.7</v>
      </c>
      <c r="G21" s="107">
        <v>14.7</v>
      </c>
      <c r="H21" s="105">
        <v>2.7</v>
      </c>
      <c r="J21" s="107">
        <v>15.32</v>
      </c>
      <c r="K21" s="105">
        <v>2.7</v>
      </c>
      <c r="M21" s="105">
        <v>19</v>
      </c>
      <c r="N21" s="93">
        <v>2.6</v>
      </c>
      <c r="P21" s="103">
        <v>17</v>
      </c>
      <c r="Q21" s="94">
        <v>2.2999999999999998</v>
      </c>
      <c r="S21" s="106">
        <v>1930</v>
      </c>
      <c r="T21" s="105">
        <v>2.7</v>
      </c>
      <c r="V21" s="104">
        <v>1855</v>
      </c>
      <c r="W21" s="105">
        <v>2.7</v>
      </c>
      <c r="Y21" s="106">
        <v>97</v>
      </c>
      <c r="Z21" s="105">
        <v>2.7</v>
      </c>
      <c r="AB21" s="106">
        <v>87</v>
      </c>
      <c r="AC21" s="105">
        <v>2.7</v>
      </c>
      <c r="AE21" s="106">
        <v>285</v>
      </c>
      <c r="AF21" s="105">
        <v>2.7</v>
      </c>
      <c r="AH21" s="234">
        <v>272</v>
      </c>
      <c r="AI21" s="105">
        <v>2.7</v>
      </c>
      <c r="AK21" s="107">
        <v>14.5</v>
      </c>
      <c r="AL21" s="105">
        <v>2.7</v>
      </c>
      <c r="AN21" s="107">
        <v>10.4</v>
      </c>
      <c r="AO21" s="105">
        <v>2.7</v>
      </c>
      <c r="AQ21" s="161">
        <v>4.7</v>
      </c>
      <c r="AR21" s="105">
        <v>2.7</v>
      </c>
      <c r="AT21" s="161">
        <v>3.7</v>
      </c>
      <c r="AU21" s="105">
        <v>2.7</v>
      </c>
      <c r="AW21" s="107">
        <v>10.039999999999999</v>
      </c>
      <c r="AX21" s="105">
        <v>2.7</v>
      </c>
      <c r="AZ21" s="107">
        <v>7.92</v>
      </c>
      <c r="BA21" s="105">
        <v>2.7</v>
      </c>
    </row>
    <row r="22" spans="1:53" x14ac:dyDescent="0.3">
      <c r="A22" s="107">
        <v>11.15</v>
      </c>
      <c r="B22" s="105">
        <v>2.8</v>
      </c>
      <c r="D22" s="107">
        <v>11.65</v>
      </c>
      <c r="E22" s="105">
        <v>2.8</v>
      </c>
      <c r="G22" s="107">
        <v>14.55</v>
      </c>
      <c r="H22" s="105">
        <v>2.8</v>
      </c>
      <c r="J22" s="107">
        <v>15.23</v>
      </c>
      <c r="K22" s="105">
        <v>2.8</v>
      </c>
      <c r="M22" s="105">
        <v>18.5</v>
      </c>
      <c r="N22" s="93">
        <v>2.5</v>
      </c>
      <c r="P22" s="103">
        <v>16.5</v>
      </c>
      <c r="Q22" s="94">
        <v>2.2000000000000002</v>
      </c>
      <c r="S22" s="104">
        <v>1970</v>
      </c>
      <c r="T22" s="105">
        <v>2.8</v>
      </c>
      <c r="V22" s="104">
        <v>1895</v>
      </c>
      <c r="W22" s="105">
        <v>2.8</v>
      </c>
      <c r="Y22" s="106">
        <v>98</v>
      </c>
      <c r="Z22" s="105">
        <v>2.8</v>
      </c>
      <c r="AB22" s="106">
        <v>88</v>
      </c>
      <c r="AC22" s="105">
        <v>2.8</v>
      </c>
      <c r="AE22" s="106">
        <v>290</v>
      </c>
      <c r="AF22" s="105">
        <v>2.8</v>
      </c>
      <c r="AH22" s="234">
        <v>276</v>
      </c>
      <c r="AI22" s="105">
        <v>2.8</v>
      </c>
      <c r="AK22" s="101">
        <v>15</v>
      </c>
      <c r="AL22" s="105">
        <v>2.8</v>
      </c>
      <c r="AN22" s="101">
        <v>10.6</v>
      </c>
      <c r="AO22" s="105">
        <v>2.8</v>
      </c>
      <c r="AQ22" s="161">
        <v>4.8</v>
      </c>
      <c r="AR22" s="105">
        <v>2.8</v>
      </c>
      <c r="AT22" s="161">
        <v>3.8</v>
      </c>
      <c r="AU22" s="105">
        <v>2.8</v>
      </c>
      <c r="AW22" s="101">
        <v>10.36</v>
      </c>
      <c r="AX22" s="105">
        <v>2.8</v>
      </c>
      <c r="AZ22" s="101">
        <v>8.08</v>
      </c>
      <c r="BA22" s="105">
        <v>2.8</v>
      </c>
    </row>
    <row r="23" spans="1:53" x14ac:dyDescent="0.3">
      <c r="A23" s="107">
        <v>11.05</v>
      </c>
      <c r="B23" s="105">
        <v>2.9</v>
      </c>
      <c r="D23" s="107">
        <v>11.55</v>
      </c>
      <c r="E23" s="105">
        <v>2.9</v>
      </c>
      <c r="G23" s="107">
        <v>14.4</v>
      </c>
      <c r="H23" s="105">
        <v>2.9</v>
      </c>
      <c r="J23" s="107">
        <v>15.14</v>
      </c>
      <c r="K23" s="105">
        <v>2.9</v>
      </c>
      <c r="M23" s="105">
        <v>18</v>
      </c>
      <c r="N23" s="93">
        <v>2.4</v>
      </c>
      <c r="P23" s="103">
        <v>16</v>
      </c>
      <c r="Q23" s="94">
        <v>2.1</v>
      </c>
      <c r="S23" s="104">
        <v>2010</v>
      </c>
      <c r="T23" s="105">
        <v>2.9</v>
      </c>
      <c r="V23" s="104">
        <v>1935</v>
      </c>
      <c r="W23" s="105">
        <v>2.9</v>
      </c>
      <c r="Y23" s="106">
        <v>99</v>
      </c>
      <c r="Z23" s="105">
        <v>2.9</v>
      </c>
      <c r="AB23" s="106">
        <v>89</v>
      </c>
      <c r="AC23" s="105">
        <v>2.9</v>
      </c>
      <c r="AE23" s="106">
        <v>295</v>
      </c>
      <c r="AF23" s="105">
        <v>2.9</v>
      </c>
      <c r="AH23" s="235">
        <v>281</v>
      </c>
      <c r="AI23" s="105">
        <v>2.9</v>
      </c>
      <c r="AK23" s="101">
        <v>15.5</v>
      </c>
      <c r="AL23" s="105">
        <v>2.9</v>
      </c>
      <c r="AN23" s="101">
        <v>10.8</v>
      </c>
      <c r="AO23" s="105">
        <v>2.9</v>
      </c>
      <c r="AQ23" s="161">
        <v>4.9000000000000004</v>
      </c>
      <c r="AR23" s="105">
        <v>2.9</v>
      </c>
      <c r="AT23" s="161">
        <v>3.9</v>
      </c>
      <c r="AU23" s="105">
        <v>2.9</v>
      </c>
      <c r="AW23" s="101">
        <v>10.68</v>
      </c>
      <c r="AX23" s="105">
        <v>2.9</v>
      </c>
      <c r="AZ23" s="101">
        <v>8.24</v>
      </c>
      <c r="BA23" s="105">
        <v>2.9</v>
      </c>
    </row>
    <row r="24" spans="1:53" x14ac:dyDescent="0.3">
      <c r="A24" s="107">
        <v>10.95</v>
      </c>
      <c r="B24" s="105">
        <v>3</v>
      </c>
      <c r="D24" s="107">
        <v>11.45</v>
      </c>
      <c r="E24" s="105">
        <v>3</v>
      </c>
      <c r="G24" s="107">
        <v>14.25</v>
      </c>
      <c r="H24" s="105">
        <v>3</v>
      </c>
      <c r="J24" s="107">
        <v>15.05</v>
      </c>
      <c r="K24" s="105">
        <v>3</v>
      </c>
      <c r="M24" s="105">
        <v>17.5</v>
      </c>
      <c r="N24" s="93">
        <v>2.2999999999999998</v>
      </c>
      <c r="P24" s="103">
        <v>15.5</v>
      </c>
      <c r="Q24" s="94">
        <v>1.9</v>
      </c>
      <c r="S24" s="106">
        <v>2050</v>
      </c>
      <c r="T24" s="105">
        <v>3</v>
      </c>
      <c r="V24" s="106">
        <v>1975</v>
      </c>
      <c r="W24" s="105">
        <v>3</v>
      </c>
      <c r="Y24" s="106">
        <v>100</v>
      </c>
      <c r="Z24" s="105">
        <v>3</v>
      </c>
      <c r="AB24" s="106">
        <v>90</v>
      </c>
      <c r="AC24" s="105">
        <v>3</v>
      </c>
      <c r="AE24" s="106">
        <v>300</v>
      </c>
      <c r="AF24" s="105">
        <v>3</v>
      </c>
      <c r="AH24" s="234">
        <v>285</v>
      </c>
      <c r="AI24" s="105">
        <v>3</v>
      </c>
      <c r="AK24" s="107">
        <v>16</v>
      </c>
      <c r="AL24" s="105">
        <v>3</v>
      </c>
      <c r="AN24" s="107">
        <v>11</v>
      </c>
      <c r="AO24" s="105">
        <v>3</v>
      </c>
      <c r="AQ24" s="161">
        <v>5</v>
      </c>
      <c r="AR24" s="105">
        <v>3</v>
      </c>
      <c r="AT24" s="161">
        <v>4</v>
      </c>
      <c r="AU24" s="105">
        <v>3</v>
      </c>
      <c r="AW24" s="107">
        <v>11</v>
      </c>
      <c r="AX24" s="105">
        <v>3</v>
      </c>
      <c r="AZ24" s="107">
        <v>8.4</v>
      </c>
      <c r="BA24" s="105">
        <v>3</v>
      </c>
    </row>
    <row r="25" spans="1:53" x14ac:dyDescent="0.3">
      <c r="A25" s="107">
        <v>10.85</v>
      </c>
      <c r="B25" s="105">
        <v>3.1</v>
      </c>
      <c r="D25" s="107">
        <v>11.35</v>
      </c>
      <c r="E25" s="105">
        <v>3.1</v>
      </c>
      <c r="G25" s="107">
        <v>14.15</v>
      </c>
      <c r="H25" s="105">
        <v>3.1</v>
      </c>
      <c r="J25" s="107">
        <v>14.96</v>
      </c>
      <c r="K25" s="105">
        <v>3.1</v>
      </c>
      <c r="M25" s="105">
        <v>17</v>
      </c>
      <c r="N25" s="93">
        <v>2.1</v>
      </c>
      <c r="P25" s="103">
        <v>15</v>
      </c>
      <c r="Q25" s="94">
        <v>1.8</v>
      </c>
      <c r="S25" s="106">
        <v>2070</v>
      </c>
      <c r="T25" s="105">
        <v>3.1</v>
      </c>
      <c r="V25" s="77">
        <v>2000</v>
      </c>
      <c r="W25" s="105">
        <v>3.1</v>
      </c>
      <c r="Y25" s="106">
        <v>101</v>
      </c>
      <c r="Z25" s="105">
        <v>3.1</v>
      </c>
      <c r="AB25" s="106">
        <v>91</v>
      </c>
      <c r="AC25" s="105">
        <v>3.1</v>
      </c>
      <c r="AE25" s="106">
        <v>305</v>
      </c>
      <c r="AF25" s="105">
        <v>3.1</v>
      </c>
      <c r="AH25" s="234">
        <v>290</v>
      </c>
      <c r="AI25" s="105">
        <v>3.1</v>
      </c>
      <c r="AK25" s="107">
        <v>16.899999999999999</v>
      </c>
      <c r="AL25" s="105">
        <v>3.1</v>
      </c>
      <c r="AN25" s="107">
        <v>11.5</v>
      </c>
      <c r="AO25" s="105">
        <v>3.1</v>
      </c>
      <c r="AQ25" s="161">
        <v>5.0999999999999996</v>
      </c>
      <c r="AR25" s="105">
        <v>3.1</v>
      </c>
      <c r="AT25" s="161">
        <v>4.0999999999999996</v>
      </c>
      <c r="AU25" s="105">
        <v>3.1</v>
      </c>
      <c r="AW25" s="107">
        <v>11.45</v>
      </c>
      <c r="AX25" s="105">
        <v>3.1</v>
      </c>
      <c r="AZ25" s="107">
        <v>8.66</v>
      </c>
      <c r="BA25" s="105">
        <v>3.1</v>
      </c>
    </row>
    <row r="26" spans="1:53" x14ac:dyDescent="0.3">
      <c r="A26" s="107">
        <v>10.75</v>
      </c>
      <c r="B26" s="105">
        <v>3.2</v>
      </c>
      <c r="D26" s="107">
        <v>11.25</v>
      </c>
      <c r="E26" s="105">
        <v>3.2</v>
      </c>
      <c r="G26" s="107">
        <v>14.05</v>
      </c>
      <c r="H26" s="105">
        <v>3.2</v>
      </c>
      <c r="J26" s="107">
        <v>14.87</v>
      </c>
      <c r="K26" s="105">
        <v>3.2</v>
      </c>
      <c r="M26" s="105">
        <v>16.5</v>
      </c>
      <c r="N26" s="93">
        <v>2</v>
      </c>
      <c r="P26" s="103">
        <v>14.5</v>
      </c>
      <c r="Q26" s="94">
        <v>1.7</v>
      </c>
      <c r="S26" s="106">
        <v>2090</v>
      </c>
      <c r="T26" s="105">
        <v>3.2</v>
      </c>
      <c r="V26" s="77">
        <v>2025</v>
      </c>
      <c r="W26" s="105">
        <v>3.2</v>
      </c>
      <c r="Y26" s="106">
        <v>102</v>
      </c>
      <c r="Z26" s="105">
        <v>3.2</v>
      </c>
      <c r="AB26" s="106">
        <v>92</v>
      </c>
      <c r="AC26" s="105">
        <v>3.2</v>
      </c>
      <c r="AE26" s="106">
        <v>310</v>
      </c>
      <c r="AF26" s="105">
        <v>3.2</v>
      </c>
      <c r="AH26" s="235">
        <v>294</v>
      </c>
      <c r="AI26" s="105">
        <v>3.2</v>
      </c>
      <c r="AK26" s="107">
        <v>17.8</v>
      </c>
      <c r="AL26" s="105">
        <v>3.2</v>
      </c>
      <c r="AN26" s="107">
        <v>12</v>
      </c>
      <c r="AO26" s="105">
        <v>3.2</v>
      </c>
      <c r="AQ26" s="161">
        <v>5.2</v>
      </c>
      <c r="AR26" s="105">
        <v>3.2</v>
      </c>
      <c r="AT26" s="161">
        <v>4.2</v>
      </c>
      <c r="AU26" s="105">
        <v>3.2</v>
      </c>
      <c r="AW26" s="107">
        <v>11.9</v>
      </c>
      <c r="AX26" s="105">
        <v>3.2</v>
      </c>
      <c r="AZ26" s="107">
        <v>8.92</v>
      </c>
      <c r="BA26" s="105">
        <v>3.2</v>
      </c>
    </row>
    <row r="27" spans="1:53" x14ac:dyDescent="0.3">
      <c r="A27" s="107">
        <v>10.65</v>
      </c>
      <c r="B27" s="105">
        <v>3.3</v>
      </c>
      <c r="D27" s="107">
        <v>11.15</v>
      </c>
      <c r="E27" s="105">
        <v>3.3</v>
      </c>
      <c r="G27" s="107">
        <v>13.95</v>
      </c>
      <c r="H27" s="105">
        <v>3.3</v>
      </c>
      <c r="J27" s="107">
        <v>14.78</v>
      </c>
      <c r="K27" s="105">
        <v>3.3</v>
      </c>
      <c r="M27" s="105">
        <v>16</v>
      </c>
      <c r="N27" s="93">
        <v>1.9</v>
      </c>
      <c r="P27" s="103">
        <v>14</v>
      </c>
      <c r="Q27" s="94">
        <v>1.6</v>
      </c>
      <c r="S27" s="106">
        <v>2110</v>
      </c>
      <c r="T27" s="105">
        <v>3.3</v>
      </c>
      <c r="V27" s="77">
        <v>2050</v>
      </c>
      <c r="W27" s="105">
        <v>3.3</v>
      </c>
      <c r="Y27" s="106">
        <v>103</v>
      </c>
      <c r="Z27" s="105">
        <v>3.3</v>
      </c>
      <c r="AB27" s="106">
        <v>93</v>
      </c>
      <c r="AC27" s="105">
        <v>3.3</v>
      </c>
      <c r="AE27" s="106">
        <v>315</v>
      </c>
      <c r="AF27" s="105">
        <v>3.3</v>
      </c>
      <c r="AH27" s="235">
        <v>299</v>
      </c>
      <c r="AI27" s="105">
        <v>3.3</v>
      </c>
      <c r="AK27" s="107">
        <v>18.7</v>
      </c>
      <c r="AL27" s="105">
        <v>3.3</v>
      </c>
      <c r="AN27" s="107">
        <v>12.5</v>
      </c>
      <c r="AO27" s="105">
        <v>3.3</v>
      </c>
      <c r="AQ27" s="161">
        <v>5.3</v>
      </c>
      <c r="AR27" s="105">
        <v>3.3</v>
      </c>
      <c r="AT27" s="161">
        <v>4.3</v>
      </c>
      <c r="AU27" s="105">
        <v>3.3</v>
      </c>
      <c r="AW27" s="107">
        <v>12.35</v>
      </c>
      <c r="AX27" s="105">
        <v>3.3</v>
      </c>
      <c r="AZ27" s="107">
        <v>9.18</v>
      </c>
      <c r="BA27" s="105">
        <v>3.3</v>
      </c>
    </row>
    <row r="28" spans="1:53" x14ac:dyDescent="0.3">
      <c r="A28" s="107">
        <v>10.55</v>
      </c>
      <c r="B28" s="105">
        <v>3.4</v>
      </c>
      <c r="D28" s="107">
        <v>11.05</v>
      </c>
      <c r="E28" s="105">
        <v>3.4</v>
      </c>
      <c r="G28" s="107">
        <v>13.85</v>
      </c>
      <c r="H28" s="105">
        <v>3.4</v>
      </c>
      <c r="J28" s="107">
        <v>14.69</v>
      </c>
      <c r="K28" s="105">
        <v>3.4</v>
      </c>
      <c r="M28" s="105">
        <v>15.5</v>
      </c>
      <c r="N28" s="93">
        <v>1.8</v>
      </c>
      <c r="P28" s="103">
        <v>13.5</v>
      </c>
      <c r="Q28" s="94">
        <v>1.4</v>
      </c>
      <c r="S28" s="106">
        <v>2130</v>
      </c>
      <c r="T28" s="105">
        <v>3.4</v>
      </c>
      <c r="V28" s="77">
        <v>2075</v>
      </c>
      <c r="W28" s="105">
        <v>3.4</v>
      </c>
      <c r="Y28" s="106">
        <v>104</v>
      </c>
      <c r="Z28" s="105">
        <v>3.4</v>
      </c>
      <c r="AB28" s="106">
        <v>94</v>
      </c>
      <c r="AC28" s="105">
        <v>3.4</v>
      </c>
      <c r="AE28" s="106">
        <v>320</v>
      </c>
      <c r="AF28" s="105">
        <v>3.4</v>
      </c>
      <c r="AH28" s="234">
        <v>303</v>
      </c>
      <c r="AI28" s="105">
        <v>3.4</v>
      </c>
      <c r="AK28" s="107">
        <v>19.600000000000001</v>
      </c>
      <c r="AL28" s="105">
        <v>3.4</v>
      </c>
      <c r="AN28" s="107">
        <v>13</v>
      </c>
      <c r="AO28" s="105">
        <v>3.4</v>
      </c>
      <c r="AQ28" s="161">
        <v>5.4</v>
      </c>
      <c r="AR28" s="105">
        <v>3.4</v>
      </c>
      <c r="AT28" s="161">
        <v>4.4000000000000004</v>
      </c>
      <c r="AU28" s="105">
        <v>3.4</v>
      </c>
      <c r="AW28" s="107">
        <v>12.8</v>
      </c>
      <c r="AX28" s="105">
        <v>3.4</v>
      </c>
      <c r="AZ28" s="107">
        <v>9.44</v>
      </c>
      <c r="BA28" s="105">
        <v>3.4</v>
      </c>
    </row>
    <row r="29" spans="1:53" x14ac:dyDescent="0.3">
      <c r="A29" s="107">
        <v>10.45</v>
      </c>
      <c r="B29" s="105">
        <v>3.5</v>
      </c>
      <c r="D29" s="107">
        <v>10.95</v>
      </c>
      <c r="E29" s="105">
        <v>3.5</v>
      </c>
      <c r="G29" s="107">
        <v>13.75</v>
      </c>
      <c r="H29" s="105">
        <v>3.5</v>
      </c>
      <c r="J29" s="107">
        <v>14.6</v>
      </c>
      <c r="K29" s="105">
        <v>3.5</v>
      </c>
      <c r="M29" s="105">
        <v>15</v>
      </c>
      <c r="N29" s="93">
        <v>1.6</v>
      </c>
      <c r="P29" s="103">
        <v>13</v>
      </c>
      <c r="Q29" s="94">
        <v>1.3</v>
      </c>
      <c r="S29" s="106">
        <v>2150</v>
      </c>
      <c r="T29" s="105">
        <v>3.5</v>
      </c>
      <c r="V29" s="77">
        <v>2100</v>
      </c>
      <c r="W29" s="105">
        <v>3.5</v>
      </c>
      <c r="Y29" s="106">
        <v>105</v>
      </c>
      <c r="Z29" s="105">
        <v>3.5</v>
      </c>
      <c r="AB29" s="106">
        <v>95</v>
      </c>
      <c r="AC29" s="105">
        <v>3.5</v>
      </c>
      <c r="AE29" s="106">
        <v>325</v>
      </c>
      <c r="AF29" s="105">
        <v>3.5</v>
      </c>
      <c r="AH29" s="235">
        <v>309</v>
      </c>
      <c r="AI29" s="105">
        <v>3.5</v>
      </c>
      <c r="AK29" s="107">
        <v>20.5</v>
      </c>
      <c r="AL29" s="105">
        <v>3.5</v>
      </c>
      <c r="AN29" s="107">
        <v>13.5</v>
      </c>
      <c r="AO29" s="105">
        <v>3.5</v>
      </c>
      <c r="AQ29" s="161">
        <v>5.5</v>
      </c>
      <c r="AR29" s="105">
        <v>3.5</v>
      </c>
      <c r="AT29" s="161">
        <v>4.5</v>
      </c>
      <c r="AU29" s="105">
        <v>3.5</v>
      </c>
      <c r="AW29" s="107">
        <v>13.25</v>
      </c>
      <c r="AX29" s="105">
        <v>3.5</v>
      </c>
      <c r="AZ29" s="107">
        <v>9.6999999999999993</v>
      </c>
      <c r="BA29" s="105">
        <v>3.5</v>
      </c>
    </row>
    <row r="30" spans="1:53" ht="15" customHeight="1" x14ac:dyDescent="0.3">
      <c r="A30" s="107">
        <v>10.35</v>
      </c>
      <c r="B30" s="105">
        <v>3.6</v>
      </c>
      <c r="D30" s="107">
        <v>10.85</v>
      </c>
      <c r="E30" s="105">
        <v>3.6</v>
      </c>
      <c r="G30" s="107">
        <v>13.65</v>
      </c>
      <c r="H30" s="105">
        <v>3.6</v>
      </c>
      <c r="J30" s="107">
        <v>14.51</v>
      </c>
      <c r="K30" s="105">
        <v>3.6</v>
      </c>
      <c r="M30" s="105">
        <v>14.5</v>
      </c>
      <c r="N30" s="93">
        <v>1.5</v>
      </c>
      <c r="P30" s="103">
        <v>12.5</v>
      </c>
      <c r="Q30" s="94">
        <v>1.2</v>
      </c>
      <c r="S30" s="106">
        <v>2170</v>
      </c>
      <c r="T30" s="105">
        <v>3.6</v>
      </c>
      <c r="V30" s="77">
        <v>2120</v>
      </c>
      <c r="W30" s="105">
        <v>3.6</v>
      </c>
      <c r="Y30" s="106">
        <v>106</v>
      </c>
      <c r="Z30" s="105">
        <v>3.6</v>
      </c>
      <c r="AB30" s="106">
        <v>96</v>
      </c>
      <c r="AC30" s="105">
        <v>3.6</v>
      </c>
      <c r="AE30" s="106">
        <v>330</v>
      </c>
      <c r="AF30" s="105">
        <v>3.6</v>
      </c>
      <c r="AH30" s="235">
        <v>312</v>
      </c>
      <c r="AI30" s="105">
        <v>3.6</v>
      </c>
      <c r="AK30" s="107">
        <v>21.4</v>
      </c>
      <c r="AL30" s="105">
        <v>3.6</v>
      </c>
      <c r="AN30" s="107">
        <v>14</v>
      </c>
      <c r="AO30" s="105">
        <v>3.6</v>
      </c>
      <c r="AQ30" s="161">
        <v>5.6</v>
      </c>
      <c r="AR30" s="105">
        <v>3.6</v>
      </c>
      <c r="AT30" s="161">
        <v>4.5999999999999996</v>
      </c>
      <c r="AU30" s="105">
        <v>3.6</v>
      </c>
      <c r="AW30" s="107">
        <v>13.7</v>
      </c>
      <c r="AX30" s="105">
        <v>3.6</v>
      </c>
      <c r="AZ30" s="107">
        <v>9.9600000000000009</v>
      </c>
      <c r="BA30" s="105">
        <v>3.6</v>
      </c>
    </row>
    <row r="31" spans="1:53" x14ac:dyDescent="0.3">
      <c r="A31" s="107">
        <v>10.25</v>
      </c>
      <c r="B31" s="105">
        <v>3.7</v>
      </c>
      <c r="D31" s="107">
        <v>10.75</v>
      </c>
      <c r="E31" s="105">
        <v>3.7</v>
      </c>
      <c r="G31" s="107">
        <v>13.55</v>
      </c>
      <c r="H31" s="105">
        <v>3.7</v>
      </c>
      <c r="J31" s="107">
        <v>14.42</v>
      </c>
      <c r="K31" s="105">
        <v>3.7</v>
      </c>
      <c r="M31" s="105">
        <v>14</v>
      </c>
      <c r="N31" s="93">
        <v>1.4</v>
      </c>
      <c r="P31" s="103">
        <v>12</v>
      </c>
      <c r="Q31" s="94">
        <v>1.1000000000000001</v>
      </c>
      <c r="S31" s="106">
        <v>2190</v>
      </c>
      <c r="T31" s="105">
        <v>3.7</v>
      </c>
      <c r="V31" s="77">
        <v>2140</v>
      </c>
      <c r="W31" s="105">
        <v>3.7</v>
      </c>
      <c r="Y31" s="106">
        <v>107</v>
      </c>
      <c r="Z31" s="105">
        <v>3.7</v>
      </c>
      <c r="AB31" s="106">
        <v>97</v>
      </c>
      <c r="AC31" s="105">
        <v>3.7</v>
      </c>
      <c r="AE31" s="106">
        <v>335</v>
      </c>
      <c r="AF31" s="105">
        <v>3.7</v>
      </c>
      <c r="AH31" s="234">
        <v>317</v>
      </c>
      <c r="AI31" s="105">
        <v>3.7</v>
      </c>
      <c r="AK31" s="107">
        <v>22.3</v>
      </c>
      <c r="AL31" s="105">
        <v>3.7</v>
      </c>
      <c r="AN31" s="107">
        <v>14.5</v>
      </c>
      <c r="AO31" s="105">
        <v>3.7</v>
      </c>
      <c r="AQ31" s="107">
        <v>5.7</v>
      </c>
      <c r="AR31" s="105">
        <v>3.7</v>
      </c>
      <c r="AT31" s="161">
        <v>4.7</v>
      </c>
      <c r="AU31" s="105">
        <v>3.7</v>
      </c>
      <c r="AW31" s="107">
        <v>14.15</v>
      </c>
      <c r="AX31" s="105">
        <v>3.7</v>
      </c>
      <c r="AZ31" s="107">
        <v>10.220000000000001</v>
      </c>
      <c r="BA31" s="105">
        <v>3.7</v>
      </c>
    </row>
    <row r="32" spans="1:53" x14ac:dyDescent="0.3">
      <c r="A32" s="107">
        <v>10.15</v>
      </c>
      <c r="B32" s="105">
        <v>3.8</v>
      </c>
      <c r="D32" s="107">
        <v>10.65</v>
      </c>
      <c r="E32" s="105">
        <v>3.8</v>
      </c>
      <c r="G32" s="107">
        <v>13.45</v>
      </c>
      <c r="H32" s="105">
        <v>3.8</v>
      </c>
      <c r="J32" s="107">
        <v>14.33</v>
      </c>
      <c r="K32" s="105">
        <v>3.8</v>
      </c>
      <c r="M32" s="105">
        <v>13.5</v>
      </c>
      <c r="N32" s="93">
        <v>1.3</v>
      </c>
      <c r="P32" s="103">
        <v>11.5</v>
      </c>
      <c r="Q32" s="94">
        <v>1</v>
      </c>
      <c r="S32" s="106">
        <v>2210</v>
      </c>
      <c r="T32" s="105">
        <v>3.8</v>
      </c>
      <c r="V32" s="77">
        <v>2160</v>
      </c>
      <c r="W32" s="105">
        <v>3.8</v>
      </c>
      <c r="Y32" s="106">
        <v>108</v>
      </c>
      <c r="Z32" s="105">
        <v>3.8</v>
      </c>
      <c r="AB32" s="106">
        <v>98</v>
      </c>
      <c r="AC32" s="105">
        <v>3.8</v>
      </c>
      <c r="AE32" s="106">
        <v>340</v>
      </c>
      <c r="AF32" s="105">
        <v>3.8</v>
      </c>
      <c r="AH32" s="235">
        <v>321</v>
      </c>
      <c r="AI32" s="105">
        <v>3.8</v>
      </c>
      <c r="AK32" s="107">
        <v>23.2</v>
      </c>
      <c r="AL32" s="105">
        <v>3.8</v>
      </c>
      <c r="AN32" s="107">
        <v>15</v>
      </c>
      <c r="AO32" s="105">
        <v>3.8</v>
      </c>
      <c r="AQ32" s="107">
        <v>5.8</v>
      </c>
      <c r="AR32" s="105">
        <v>3.8</v>
      </c>
      <c r="AT32" s="161">
        <v>4.8</v>
      </c>
      <c r="AU32" s="105">
        <v>3.8</v>
      </c>
      <c r="AW32" s="107">
        <v>14.6</v>
      </c>
      <c r="AX32" s="105">
        <v>3.8</v>
      </c>
      <c r="AZ32" s="107">
        <v>10.48</v>
      </c>
      <c r="BA32" s="105">
        <v>3.8</v>
      </c>
    </row>
    <row r="33" spans="1:53" x14ac:dyDescent="0.3">
      <c r="A33" s="107">
        <v>10.050000000000001</v>
      </c>
      <c r="B33" s="105">
        <v>3.9</v>
      </c>
      <c r="D33" s="161">
        <v>10.55</v>
      </c>
      <c r="E33" s="105">
        <v>3.9</v>
      </c>
      <c r="G33" s="107">
        <v>13.35</v>
      </c>
      <c r="H33" s="105">
        <v>3.9</v>
      </c>
      <c r="J33" s="107">
        <v>14.24</v>
      </c>
      <c r="K33" s="105">
        <v>3.9</v>
      </c>
      <c r="M33" s="105">
        <v>13</v>
      </c>
      <c r="N33" s="93">
        <v>1.1000000000000001</v>
      </c>
      <c r="P33" s="167"/>
      <c r="Q33" s="103"/>
      <c r="S33" s="106">
        <v>2230</v>
      </c>
      <c r="T33" s="105">
        <v>3.9</v>
      </c>
      <c r="V33" s="77">
        <v>2180</v>
      </c>
      <c r="W33" s="105">
        <v>3.9</v>
      </c>
      <c r="Y33" s="106">
        <v>109</v>
      </c>
      <c r="Z33" s="105">
        <v>3.9</v>
      </c>
      <c r="AB33" s="106">
        <v>99</v>
      </c>
      <c r="AC33" s="105">
        <v>3.9</v>
      </c>
      <c r="AE33" s="106">
        <v>345</v>
      </c>
      <c r="AF33" s="105">
        <v>3.9</v>
      </c>
      <c r="AH33" s="235">
        <v>326</v>
      </c>
      <c r="AI33" s="105">
        <v>3.9</v>
      </c>
      <c r="AK33" s="107">
        <v>24.1</v>
      </c>
      <c r="AL33" s="105">
        <v>3.9</v>
      </c>
      <c r="AN33" s="107">
        <v>15.5</v>
      </c>
      <c r="AO33" s="105">
        <v>3.9</v>
      </c>
      <c r="AQ33" s="107">
        <v>5.9</v>
      </c>
      <c r="AR33" s="105">
        <v>3.9</v>
      </c>
      <c r="AT33" s="161">
        <v>4.9000000000000004</v>
      </c>
      <c r="AU33" s="105">
        <v>3.9</v>
      </c>
      <c r="AW33" s="107">
        <v>15.05</v>
      </c>
      <c r="AX33" s="105">
        <v>3.9</v>
      </c>
      <c r="AZ33" s="107">
        <v>10.74</v>
      </c>
      <c r="BA33" s="105">
        <v>3.9</v>
      </c>
    </row>
    <row r="34" spans="1:53" x14ac:dyDescent="0.3">
      <c r="A34" s="107">
        <v>9.9499999999999993</v>
      </c>
      <c r="B34" s="105">
        <v>4</v>
      </c>
      <c r="D34" s="161">
        <v>10.45</v>
      </c>
      <c r="E34" s="105">
        <v>4</v>
      </c>
      <c r="G34" s="107">
        <v>13.25</v>
      </c>
      <c r="H34" s="105">
        <v>4</v>
      </c>
      <c r="J34" s="107">
        <v>14.15</v>
      </c>
      <c r="K34" s="105">
        <v>4</v>
      </c>
      <c r="M34" s="105">
        <v>12.5</v>
      </c>
      <c r="N34" s="93">
        <v>1</v>
      </c>
      <c r="Q34" s="105"/>
      <c r="S34" s="106">
        <v>2250</v>
      </c>
      <c r="T34" s="105">
        <v>4</v>
      </c>
      <c r="V34" s="77">
        <v>2200</v>
      </c>
      <c r="W34" s="105">
        <v>4</v>
      </c>
      <c r="Y34" s="106">
        <v>110</v>
      </c>
      <c r="Z34" s="105">
        <v>4</v>
      </c>
      <c r="AB34" s="106">
        <v>100</v>
      </c>
      <c r="AC34" s="105">
        <v>4</v>
      </c>
      <c r="AE34" s="106">
        <v>350</v>
      </c>
      <c r="AF34" s="105">
        <v>4</v>
      </c>
      <c r="AH34" s="234">
        <v>330</v>
      </c>
      <c r="AI34" s="105">
        <v>4</v>
      </c>
      <c r="AK34" s="107">
        <v>25</v>
      </c>
      <c r="AL34" s="105">
        <v>4</v>
      </c>
      <c r="AN34" s="107">
        <v>16</v>
      </c>
      <c r="AO34" s="105">
        <v>4</v>
      </c>
      <c r="AQ34" s="107">
        <v>6</v>
      </c>
      <c r="AR34" s="105">
        <v>4</v>
      </c>
      <c r="AT34" s="161">
        <v>5</v>
      </c>
      <c r="AU34" s="105">
        <v>4</v>
      </c>
      <c r="AW34" s="107">
        <v>15.5</v>
      </c>
      <c r="AX34" s="105">
        <v>4</v>
      </c>
      <c r="AZ34" s="107">
        <v>11</v>
      </c>
      <c r="BA34" s="105">
        <v>4</v>
      </c>
    </row>
    <row r="35" spans="1:53" x14ac:dyDescent="0.3">
      <c r="A35" s="107">
        <v>9.9</v>
      </c>
      <c r="B35" s="105">
        <v>4.0999999999999996</v>
      </c>
      <c r="D35" s="161">
        <v>10.4</v>
      </c>
      <c r="E35" s="105">
        <v>4.0999999999999996</v>
      </c>
      <c r="G35" s="107">
        <v>13.15</v>
      </c>
      <c r="H35" s="105">
        <v>4.0999999999999996</v>
      </c>
      <c r="J35" s="107">
        <v>14.06</v>
      </c>
      <c r="K35" s="105">
        <v>4.0999999999999996</v>
      </c>
      <c r="M35" s="167"/>
      <c r="N35" s="103"/>
      <c r="P35" s="105"/>
      <c r="Q35" s="105"/>
      <c r="S35" s="106">
        <v>2280</v>
      </c>
      <c r="T35" s="105">
        <v>4.0999999999999996</v>
      </c>
      <c r="V35" s="77">
        <v>2220</v>
      </c>
      <c r="W35" s="105">
        <v>4.0999999999999996</v>
      </c>
      <c r="Y35" s="106">
        <v>111</v>
      </c>
      <c r="Z35" s="105">
        <v>4.0999999999999996</v>
      </c>
      <c r="AB35" s="106">
        <v>101</v>
      </c>
      <c r="AC35" s="105">
        <v>4.0999999999999996</v>
      </c>
      <c r="AE35" s="106">
        <v>355</v>
      </c>
      <c r="AF35" s="105">
        <v>4.0999999999999996</v>
      </c>
      <c r="AH35" s="104">
        <v>334</v>
      </c>
      <c r="AI35" s="105">
        <v>4.0999999999999996</v>
      </c>
      <c r="AK35" s="107">
        <v>25.9</v>
      </c>
      <c r="AL35" s="105">
        <v>4.0999999999999996</v>
      </c>
      <c r="AN35" s="107">
        <v>16.8</v>
      </c>
      <c r="AO35" s="105">
        <v>4.0999999999999996</v>
      </c>
      <c r="AQ35" s="107">
        <v>6.1</v>
      </c>
      <c r="AR35" s="105">
        <v>4.0999999999999996</v>
      </c>
      <c r="AT35" s="161">
        <v>5.0999999999999996</v>
      </c>
      <c r="AU35" s="105">
        <v>4.0999999999999996</v>
      </c>
      <c r="AW35" s="107">
        <v>16.05</v>
      </c>
      <c r="AX35" s="105">
        <v>4.0999999999999996</v>
      </c>
      <c r="AZ35" s="107">
        <v>11.45</v>
      </c>
      <c r="BA35" s="105">
        <v>4.0999999999999996</v>
      </c>
    </row>
    <row r="36" spans="1:53" x14ac:dyDescent="0.3">
      <c r="A36" s="107">
        <v>9.85</v>
      </c>
      <c r="B36" s="105">
        <v>4.2</v>
      </c>
      <c r="D36" s="161">
        <v>10.35</v>
      </c>
      <c r="E36" s="105">
        <v>4.2</v>
      </c>
      <c r="G36" s="107">
        <v>13.05</v>
      </c>
      <c r="H36" s="105">
        <v>4.2</v>
      </c>
      <c r="J36" s="107">
        <v>13.97</v>
      </c>
      <c r="K36" s="105">
        <v>4.2</v>
      </c>
      <c r="N36" s="105"/>
      <c r="P36" s="105"/>
      <c r="Q36" s="105"/>
      <c r="S36" s="106">
        <v>2310</v>
      </c>
      <c r="T36" s="105">
        <v>4.2</v>
      </c>
      <c r="V36" s="77">
        <v>2240</v>
      </c>
      <c r="W36" s="105">
        <v>4.2</v>
      </c>
      <c r="Y36" s="106">
        <v>112</v>
      </c>
      <c r="Z36" s="105">
        <v>4.2</v>
      </c>
      <c r="AB36" s="106">
        <v>102</v>
      </c>
      <c r="AC36" s="105">
        <v>4.2</v>
      </c>
      <c r="AE36" s="106">
        <v>360</v>
      </c>
      <c r="AF36" s="105">
        <v>4.2</v>
      </c>
      <c r="AH36" s="106">
        <v>338</v>
      </c>
      <c r="AI36" s="105">
        <v>4.2</v>
      </c>
      <c r="AK36" s="107">
        <v>26.8</v>
      </c>
      <c r="AL36" s="105">
        <v>4.2</v>
      </c>
      <c r="AN36" s="107">
        <v>17.600000000000001</v>
      </c>
      <c r="AO36" s="105">
        <v>4.2</v>
      </c>
      <c r="AQ36" s="107">
        <v>6.2</v>
      </c>
      <c r="AR36" s="105">
        <v>4.2</v>
      </c>
      <c r="AT36" s="161">
        <v>5.2</v>
      </c>
      <c r="AU36" s="105">
        <v>4.2</v>
      </c>
      <c r="AW36" s="107">
        <v>16.600000000000001</v>
      </c>
      <c r="AX36" s="105">
        <v>4.2</v>
      </c>
      <c r="AZ36" s="107">
        <v>11.9</v>
      </c>
      <c r="BA36" s="105">
        <v>4.2</v>
      </c>
    </row>
    <row r="37" spans="1:53" x14ac:dyDescent="0.3">
      <c r="A37" s="107">
        <v>9.8000000000000007</v>
      </c>
      <c r="B37" s="105">
        <v>4.3</v>
      </c>
      <c r="D37" s="161">
        <v>10.3</v>
      </c>
      <c r="E37" s="105">
        <v>4.3</v>
      </c>
      <c r="G37" s="107">
        <v>12.95</v>
      </c>
      <c r="H37" s="105">
        <v>4.3</v>
      </c>
      <c r="J37" s="107">
        <v>13.88</v>
      </c>
      <c r="K37" s="105">
        <v>4.3</v>
      </c>
      <c r="M37" s="105"/>
      <c r="N37" s="105"/>
      <c r="P37" s="105"/>
      <c r="Q37" s="105"/>
      <c r="S37" s="106">
        <v>2340</v>
      </c>
      <c r="T37" s="105">
        <v>4.3</v>
      </c>
      <c r="V37" s="77">
        <v>2260</v>
      </c>
      <c r="W37" s="105">
        <v>4.3</v>
      </c>
      <c r="Y37" s="106">
        <v>113</v>
      </c>
      <c r="Z37" s="105">
        <v>4.3</v>
      </c>
      <c r="AB37" s="106">
        <v>103</v>
      </c>
      <c r="AC37" s="105">
        <v>4.3</v>
      </c>
      <c r="AE37" s="106">
        <v>365</v>
      </c>
      <c r="AF37" s="105">
        <v>4.3</v>
      </c>
      <c r="AH37" s="106">
        <v>342</v>
      </c>
      <c r="AI37" s="105">
        <v>4.3</v>
      </c>
      <c r="AK37" s="107">
        <v>27.7</v>
      </c>
      <c r="AL37" s="105">
        <v>4.3</v>
      </c>
      <c r="AN37" s="107">
        <v>18.399999999999999</v>
      </c>
      <c r="AO37" s="105">
        <v>4.3</v>
      </c>
      <c r="AQ37" s="107">
        <v>6.3</v>
      </c>
      <c r="AR37" s="105">
        <v>4.3</v>
      </c>
      <c r="AT37" s="107">
        <v>5.3</v>
      </c>
      <c r="AU37" s="105">
        <v>4.3</v>
      </c>
      <c r="AW37" s="107">
        <v>17.149999999999999</v>
      </c>
      <c r="AX37" s="105">
        <v>4.3</v>
      </c>
      <c r="AZ37" s="107">
        <v>12.35</v>
      </c>
      <c r="BA37" s="105">
        <v>4.3</v>
      </c>
    </row>
    <row r="38" spans="1:53" x14ac:dyDescent="0.3">
      <c r="A38" s="107">
        <v>9.75</v>
      </c>
      <c r="B38" s="105">
        <v>4.4000000000000004</v>
      </c>
      <c r="D38" s="161">
        <v>10.25</v>
      </c>
      <c r="E38" s="105">
        <v>4.4000000000000004</v>
      </c>
      <c r="G38" s="107">
        <v>12.85</v>
      </c>
      <c r="H38" s="105">
        <v>4.4000000000000004</v>
      </c>
      <c r="J38" s="107">
        <v>13.79</v>
      </c>
      <c r="K38" s="105">
        <v>4.4000000000000004</v>
      </c>
      <c r="M38" s="105"/>
      <c r="N38" s="105"/>
      <c r="P38" s="105"/>
      <c r="Q38" s="105"/>
      <c r="S38" s="106">
        <v>2370</v>
      </c>
      <c r="T38" s="105">
        <v>4.4000000000000004</v>
      </c>
      <c r="V38" s="77">
        <v>2280</v>
      </c>
      <c r="W38" s="105">
        <v>4.4000000000000004</v>
      </c>
      <c r="Y38" s="106">
        <v>114</v>
      </c>
      <c r="Z38" s="105">
        <v>4.4000000000000004</v>
      </c>
      <c r="AB38" s="106">
        <v>104</v>
      </c>
      <c r="AC38" s="105">
        <v>4.4000000000000004</v>
      </c>
      <c r="AE38" s="106">
        <v>370</v>
      </c>
      <c r="AF38" s="105">
        <v>4.4000000000000004</v>
      </c>
      <c r="AH38" s="104">
        <v>346</v>
      </c>
      <c r="AI38" s="105">
        <v>4.4000000000000004</v>
      </c>
      <c r="AK38" s="107">
        <v>28.6</v>
      </c>
      <c r="AL38" s="105">
        <v>4.4000000000000004</v>
      </c>
      <c r="AN38" s="107">
        <v>19.2</v>
      </c>
      <c r="AO38" s="105">
        <v>4.4000000000000004</v>
      </c>
      <c r="AQ38" s="107">
        <v>6.4</v>
      </c>
      <c r="AR38" s="105">
        <v>4.4000000000000004</v>
      </c>
      <c r="AT38" s="107">
        <v>5.4</v>
      </c>
      <c r="AU38" s="105">
        <v>4.4000000000000004</v>
      </c>
      <c r="AW38" s="107">
        <v>17.7</v>
      </c>
      <c r="AX38" s="105">
        <v>4.4000000000000004</v>
      </c>
      <c r="AZ38" s="107">
        <v>12.8</v>
      </c>
      <c r="BA38" s="105">
        <v>4.4000000000000004</v>
      </c>
    </row>
    <row r="39" spans="1:53" x14ac:dyDescent="0.3">
      <c r="A39" s="107">
        <v>9.6999999999999993</v>
      </c>
      <c r="B39" s="105">
        <v>4.5</v>
      </c>
      <c r="D39" s="161">
        <v>10.199999999999999</v>
      </c>
      <c r="E39" s="105">
        <v>4.5</v>
      </c>
      <c r="G39" s="107">
        <v>12.75</v>
      </c>
      <c r="H39" s="105">
        <v>4.5</v>
      </c>
      <c r="J39" s="107">
        <v>13.7</v>
      </c>
      <c r="K39" s="105">
        <v>4.5</v>
      </c>
      <c r="M39" s="105"/>
      <c r="N39" s="105"/>
      <c r="P39" s="105"/>
      <c r="Q39" s="105"/>
      <c r="S39" s="106">
        <v>2400</v>
      </c>
      <c r="T39" s="105">
        <v>4.5</v>
      </c>
      <c r="V39" s="77">
        <v>2300</v>
      </c>
      <c r="W39" s="105">
        <v>4.5</v>
      </c>
      <c r="Y39" s="106">
        <v>115</v>
      </c>
      <c r="Z39" s="105">
        <v>4.5</v>
      </c>
      <c r="AB39" s="106">
        <v>105</v>
      </c>
      <c r="AC39" s="105">
        <v>4.5</v>
      </c>
      <c r="AE39" s="106">
        <v>375</v>
      </c>
      <c r="AF39" s="105">
        <v>4.5</v>
      </c>
      <c r="AH39" s="106">
        <v>350</v>
      </c>
      <c r="AI39" s="105">
        <v>4.5</v>
      </c>
      <c r="AK39" s="107">
        <v>29.5</v>
      </c>
      <c r="AL39" s="105">
        <v>4.5</v>
      </c>
      <c r="AN39" s="107">
        <v>20</v>
      </c>
      <c r="AO39" s="105">
        <v>4.5</v>
      </c>
      <c r="AQ39" s="107">
        <v>6.5</v>
      </c>
      <c r="AR39" s="105">
        <v>4.5</v>
      </c>
      <c r="AT39" s="107">
        <v>5.5</v>
      </c>
      <c r="AU39" s="105">
        <v>4.5</v>
      </c>
      <c r="AW39" s="107">
        <v>18.25</v>
      </c>
      <c r="AX39" s="105">
        <v>4.5</v>
      </c>
      <c r="AZ39" s="107">
        <v>13.25</v>
      </c>
      <c r="BA39" s="105">
        <v>4.5</v>
      </c>
    </row>
    <row r="40" spans="1:53" x14ac:dyDescent="0.3">
      <c r="A40" s="107">
        <v>9.65</v>
      </c>
      <c r="B40" s="105">
        <v>4.5999999999999996</v>
      </c>
      <c r="D40" s="161">
        <v>10.15</v>
      </c>
      <c r="E40" s="105">
        <v>4.5999999999999996</v>
      </c>
      <c r="G40" s="107">
        <v>12.65</v>
      </c>
      <c r="H40" s="105">
        <v>4.5999999999999996</v>
      </c>
      <c r="J40" s="107">
        <v>13.61</v>
      </c>
      <c r="K40" s="105">
        <v>4.5999999999999996</v>
      </c>
      <c r="M40" s="105"/>
      <c r="N40" s="105"/>
      <c r="P40" s="105"/>
      <c r="Q40" s="105"/>
      <c r="S40" s="106">
        <v>2430</v>
      </c>
      <c r="T40" s="105">
        <v>4.5999999999999996</v>
      </c>
      <c r="V40" s="77">
        <v>2315</v>
      </c>
      <c r="W40" s="105">
        <v>4.5999999999999996</v>
      </c>
      <c r="Y40" s="106">
        <v>116</v>
      </c>
      <c r="Z40" s="105">
        <v>4.5999999999999996</v>
      </c>
      <c r="AB40" s="106">
        <v>106</v>
      </c>
      <c r="AC40" s="105">
        <v>4.5999999999999996</v>
      </c>
      <c r="AE40" s="106">
        <v>380</v>
      </c>
      <c r="AF40" s="105">
        <v>4.5999999999999996</v>
      </c>
      <c r="AH40" s="106">
        <v>354</v>
      </c>
      <c r="AI40" s="105">
        <v>4.5999999999999996</v>
      </c>
      <c r="AK40" s="107">
        <v>30.4</v>
      </c>
      <c r="AL40" s="105">
        <v>4.5999999999999996</v>
      </c>
      <c r="AN40" s="107">
        <v>20.8</v>
      </c>
      <c r="AO40" s="105">
        <v>4.5999999999999996</v>
      </c>
      <c r="AQ40" s="107">
        <v>6.6</v>
      </c>
      <c r="AR40" s="105">
        <v>4.5999999999999996</v>
      </c>
      <c r="AT40" s="107">
        <v>5.6</v>
      </c>
      <c r="AU40" s="105">
        <v>4.5999999999999996</v>
      </c>
      <c r="AW40" s="107">
        <v>18.8</v>
      </c>
      <c r="AX40" s="105">
        <v>4.5999999999999996</v>
      </c>
      <c r="AZ40" s="107">
        <v>13.7</v>
      </c>
      <c r="BA40" s="105">
        <v>4.5999999999999996</v>
      </c>
    </row>
    <row r="41" spans="1:53" x14ac:dyDescent="0.3">
      <c r="A41" s="107">
        <v>9.6</v>
      </c>
      <c r="B41" s="105">
        <v>4.7</v>
      </c>
      <c r="D41" s="161">
        <v>10.1</v>
      </c>
      <c r="E41" s="105">
        <v>4.7</v>
      </c>
      <c r="G41" s="107">
        <v>12.55</v>
      </c>
      <c r="H41" s="105">
        <v>4.7</v>
      </c>
      <c r="J41" s="107">
        <v>13.52</v>
      </c>
      <c r="K41" s="105">
        <v>4.7</v>
      </c>
      <c r="M41" s="105"/>
      <c r="P41" s="105"/>
      <c r="Q41" s="105"/>
      <c r="S41" s="106">
        <v>2460</v>
      </c>
      <c r="T41" s="105">
        <v>4.7</v>
      </c>
      <c r="V41" s="77">
        <v>2330</v>
      </c>
      <c r="W41" s="105">
        <v>4.7</v>
      </c>
      <c r="Y41" s="106">
        <v>117</v>
      </c>
      <c r="Z41" s="105">
        <v>4.7</v>
      </c>
      <c r="AB41" s="106">
        <v>107</v>
      </c>
      <c r="AC41" s="105">
        <v>4.7</v>
      </c>
      <c r="AE41" s="106">
        <v>385</v>
      </c>
      <c r="AF41" s="105">
        <v>4.7</v>
      </c>
      <c r="AH41" s="104">
        <v>358</v>
      </c>
      <c r="AI41" s="105">
        <v>4.7</v>
      </c>
      <c r="AK41" s="107">
        <v>31.3</v>
      </c>
      <c r="AL41" s="105">
        <v>4.7</v>
      </c>
      <c r="AN41" s="107">
        <v>21.6</v>
      </c>
      <c r="AO41" s="105">
        <v>4.7</v>
      </c>
      <c r="AQ41" s="107">
        <v>6.7</v>
      </c>
      <c r="AR41" s="105">
        <v>4.7</v>
      </c>
      <c r="AT41" s="107">
        <v>5.7</v>
      </c>
      <c r="AU41" s="105">
        <v>4.7</v>
      </c>
      <c r="AW41" s="107">
        <v>19.350000000000001</v>
      </c>
      <c r="AX41" s="105">
        <v>4.7</v>
      </c>
      <c r="AZ41" s="107">
        <v>14.15</v>
      </c>
      <c r="BA41" s="105">
        <v>4.7</v>
      </c>
    </row>
    <row r="42" spans="1:53" x14ac:dyDescent="0.3">
      <c r="A42" s="107">
        <v>9.5500000000000007</v>
      </c>
      <c r="B42" s="105">
        <v>4.8</v>
      </c>
      <c r="D42" s="161">
        <v>10.050000000000001</v>
      </c>
      <c r="E42" s="105">
        <v>4.8</v>
      </c>
      <c r="G42" s="107">
        <v>12.45</v>
      </c>
      <c r="H42" s="105">
        <v>4.8</v>
      </c>
      <c r="J42" s="107">
        <v>13.43</v>
      </c>
      <c r="K42" s="105">
        <v>4.8</v>
      </c>
      <c r="M42" s="105"/>
      <c r="P42" s="105"/>
      <c r="Q42" s="105"/>
      <c r="S42" s="106">
        <v>2490</v>
      </c>
      <c r="T42" s="105">
        <v>4.8</v>
      </c>
      <c r="V42" s="77">
        <v>2345</v>
      </c>
      <c r="W42" s="105">
        <v>4.8</v>
      </c>
      <c r="Y42" s="106">
        <v>118</v>
      </c>
      <c r="Z42" s="105">
        <v>4.8</v>
      </c>
      <c r="AB42" s="106">
        <v>108</v>
      </c>
      <c r="AC42" s="105">
        <v>4.8</v>
      </c>
      <c r="AE42" s="106">
        <v>390</v>
      </c>
      <c r="AF42" s="105">
        <v>4.8</v>
      </c>
      <c r="AH42" s="106">
        <v>362</v>
      </c>
      <c r="AI42" s="105">
        <v>4.8</v>
      </c>
      <c r="AK42" s="107">
        <v>32.200000000000003</v>
      </c>
      <c r="AL42" s="105">
        <v>4.8</v>
      </c>
      <c r="AN42" s="107">
        <v>22.4</v>
      </c>
      <c r="AO42" s="105">
        <v>4.8</v>
      </c>
      <c r="AQ42" s="107">
        <v>6.8</v>
      </c>
      <c r="AR42" s="105">
        <v>4.8</v>
      </c>
      <c r="AT42" s="107">
        <v>5.8</v>
      </c>
      <c r="AU42" s="105">
        <v>4.8</v>
      </c>
      <c r="AW42" s="107">
        <v>19.899999999999999</v>
      </c>
      <c r="AX42" s="105">
        <v>4.8</v>
      </c>
      <c r="AZ42" s="107">
        <v>14.6</v>
      </c>
      <c r="BA42" s="105">
        <v>4.8</v>
      </c>
    </row>
    <row r="43" spans="1:53" x14ac:dyDescent="0.3">
      <c r="A43" s="107">
        <v>9.5</v>
      </c>
      <c r="B43" s="105">
        <v>4.9000000000000004</v>
      </c>
      <c r="D43" s="161">
        <v>10</v>
      </c>
      <c r="E43" s="105">
        <v>4.9000000000000004</v>
      </c>
      <c r="G43" s="107">
        <v>12.35</v>
      </c>
      <c r="H43" s="105">
        <v>4.9000000000000004</v>
      </c>
      <c r="J43" s="107">
        <v>13.34</v>
      </c>
      <c r="K43" s="105">
        <v>4.9000000000000004</v>
      </c>
      <c r="M43" s="105"/>
      <c r="P43" s="105"/>
      <c r="Q43" s="105"/>
      <c r="S43" s="106">
        <v>2520</v>
      </c>
      <c r="T43" s="105">
        <v>4.9000000000000004</v>
      </c>
      <c r="V43" s="77">
        <v>2360</v>
      </c>
      <c r="W43" s="105">
        <v>4.9000000000000004</v>
      </c>
      <c r="Y43" s="106">
        <v>119</v>
      </c>
      <c r="Z43" s="105">
        <v>4.9000000000000004</v>
      </c>
      <c r="AB43" s="106">
        <v>109</v>
      </c>
      <c r="AC43" s="105">
        <v>4.9000000000000004</v>
      </c>
      <c r="AE43" s="106">
        <v>395</v>
      </c>
      <c r="AF43" s="105">
        <v>4.9000000000000004</v>
      </c>
      <c r="AH43" s="106">
        <v>366</v>
      </c>
      <c r="AI43" s="105">
        <v>4.9000000000000004</v>
      </c>
      <c r="AK43" s="107">
        <v>33.1</v>
      </c>
      <c r="AL43" s="105">
        <v>4.9000000000000004</v>
      </c>
      <c r="AN43" s="107">
        <v>23.2</v>
      </c>
      <c r="AO43" s="105">
        <v>4.9000000000000004</v>
      </c>
      <c r="AQ43" s="107">
        <v>6.9</v>
      </c>
      <c r="AR43" s="105">
        <v>4.9000000000000004</v>
      </c>
      <c r="AT43" s="107">
        <v>5.9</v>
      </c>
      <c r="AU43" s="105">
        <v>4.9000000000000004</v>
      </c>
      <c r="AW43" s="107">
        <v>20.45</v>
      </c>
      <c r="AX43" s="105">
        <v>4.9000000000000004</v>
      </c>
      <c r="AZ43" s="107">
        <v>15.05</v>
      </c>
      <c r="BA43" s="105">
        <v>4.9000000000000004</v>
      </c>
    </row>
    <row r="44" spans="1:53" x14ac:dyDescent="0.3">
      <c r="A44" s="107">
        <v>9.4499999999999993</v>
      </c>
      <c r="B44" s="105">
        <v>5</v>
      </c>
      <c r="D44" s="161">
        <v>9.9499999999999993</v>
      </c>
      <c r="E44" s="105">
        <v>5</v>
      </c>
      <c r="G44" s="107">
        <v>12.25</v>
      </c>
      <c r="H44" s="105">
        <v>5</v>
      </c>
      <c r="J44" s="107">
        <v>13.25</v>
      </c>
      <c r="K44" s="105">
        <v>5</v>
      </c>
      <c r="M44" s="105"/>
      <c r="P44" s="105"/>
      <c r="Q44" s="105"/>
      <c r="S44" s="106">
        <v>2550</v>
      </c>
      <c r="T44" s="105">
        <v>5</v>
      </c>
      <c r="V44" s="106">
        <v>2375</v>
      </c>
      <c r="W44" s="105">
        <v>5</v>
      </c>
      <c r="Y44" s="106">
        <v>120</v>
      </c>
      <c r="Z44" s="105">
        <v>5</v>
      </c>
      <c r="AB44" s="106">
        <v>110</v>
      </c>
      <c r="AC44" s="105">
        <v>5</v>
      </c>
      <c r="AE44" s="106">
        <v>400</v>
      </c>
      <c r="AF44" s="105">
        <v>5</v>
      </c>
      <c r="AH44" s="104">
        <v>370</v>
      </c>
      <c r="AI44" s="105">
        <v>5</v>
      </c>
      <c r="AK44" s="107">
        <v>34</v>
      </c>
      <c r="AL44" s="105">
        <v>5</v>
      </c>
      <c r="AN44" s="107">
        <v>24</v>
      </c>
      <c r="AO44" s="105">
        <v>5</v>
      </c>
      <c r="AQ44" s="107">
        <v>7</v>
      </c>
      <c r="AR44" s="105">
        <v>5</v>
      </c>
      <c r="AT44" s="107">
        <v>6</v>
      </c>
      <c r="AU44" s="105">
        <v>5</v>
      </c>
      <c r="AW44" s="107">
        <v>21</v>
      </c>
      <c r="AX44" s="105">
        <v>5</v>
      </c>
      <c r="AZ44" s="107">
        <v>15.5</v>
      </c>
      <c r="BA44" s="105">
        <v>5</v>
      </c>
    </row>
    <row r="45" spans="1:53" x14ac:dyDescent="0.3">
      <c r="A45" s="161">
        <v>9.4</v>
      </c>
      <c r="B45" s="105">
        <v>5.0999999999999996</v>
      </c>
      <c r="D45" s="161">
        <v>9.9</v>
      </c>
      <c r="E45" s="105">
        <v>5.0999999999999996</v>
      </c>
      <c r="G45" s="107">
        <v>12.2</v>
      </c>
      <c r="H45" s="105">
        <v>5.0999999999999996</v>
      </c>
      <c r="J45" s="107">
        <v>13.16</v>
      </c>
      <c r="K45" s="105">
        <v>5.0999999999999996</v>
      </c>
      <c r="M45" s="105"/>
      <c r="Q45" s="105"/>
      <c r="S45" s="106">
        <v>2570</v>
      </c>
      <c r="T45" s="105">
        <v>5.0999999999999996</v>
      </c>
      <c r="V45" s="106">
        <v>2395</v>
      </c>
      <c r="W45" s="105">
        <v>5.0999999999999996</v>
      </c>
      <c r="Y45" s="106">
        <v>121</v>
      </c>
      <c r="Z45" s="105">
        <v>5.0999999999999996</v>
      </c>
      <c r="AB45" s="106">
        <v>111</v>
      </c>
      <c r="AC45" s="105">
        <v>5.0999999999999996</v>
      </c>
      <c r="AE45" s="106">
        <v>403</v>
      </c>
      <c r="AF45" s="105">
        <v>5.0999999999999996</v>
      </c>
      <c r="AH45" s="106">
        <v>374</v>
      </c>
      <c r="AI45" s="105">
        <v>5.0999999999999996</v>
      </c>
      <c r="AK45" s="107">
        <v>34.9</v>
      </c>
      <c r="AL45" s="105">
        <v>5.0999999999999996</v>
      </c>
      <c r="AN45" s="107">
        <v>24.85</v>
      </c>
      <c r="AO45" s="105">
        <v>5.0999999999999996</v>
      </c>
      <c r="AQ45" s="78">
        <v>7.12</v>
      </c>
      <c r="AR45" s="105">
        <v>5.0999999999999996</v>
      </c>
      <c r="AT45" s="107">
        <v>6.1</v>
      </c>
      <c r="AU45" s="105">
        <v>5.0999999999999996</v>
      </c>
      <c r="AW45" s="107">
        <v>21.3</v>
      </c>
      <c r="AX45" s="105">
        <v>5.0999999999999996</v>
      </c>
      <c r="AZ45" s="107">
        <v>16.05</v>
      </c>
      <c r="BA45" s="105">
        <v>5.0999999999999996</v>
      </c>
    </row>
    <row r="46" spans="1:53" x14ac:dyDescent="0.3">
      <c r="A46" s="107">
        <v>9.35</v>
      </c>
      <c r="B46" s="105">
        <v>5.2</v>
      </c>
      <c r="D46" s="161">
        <v>9.85</v>
      </c>
      <c r="E46" s="105">
        <v>5.2</v>
      </c>
      <c r="G46" s="107">
        <v>12.15</v>
      </c>
      <c r="H46" s="105">
        <v>5.2</v>
      </c>
      <c r="J46" s="107">
        <v>13.07</v>
      </c>
      <c r="K46" s="105">
        <v>5.2</v>
      </c>
      <c r="M46" s="105"/>
      <c r="Q46" s="105"/>
      <c r="S46" s="106">
        <v>2590</v>
      </c>
      <c r="T46" s="105">
        <v>5.2</v>
      </c>
      <c r="V46" s="106">
        <v>2415</v>
      </c>
      <c r="W46" s="105">
        <v>5.2</v>
      </c>
      <c r="Y46" s="106">
        <v>122</v>
      </c>
      <c r="Z46" s="105">
        <v>5.2</v>
      </c>
      <c r="AB46" s="106">
        <v>112</v>
      </c>
      <c r="AC46" s="105">
        <v>5.2</v>
      </c>
      <c r="AE46" s="106">
        <v>406</v>
      </c>
      <c r="AF46" s="105">
        <v>5.2</v>
      </c>
      <c r="AH46" s="106">
        <v>378</v>
      </c>
      <c r="AI46" s="105">
        <v>5.2</v>
      </c>
      <c r="AK46" s="107">
        <v>35.799999999999997</v>
      </c>
      <c r="AL46" s="105">
        <v>5.2</v>
      </c>
      <c r="AN46" s="107">
        <v>25.7</v>
      </c>
      <c r="AO46" s="105">
        <v>5.2</v>
      </c>
      <c r="AQ46" s="78">
        <v>7.24</v>
      </c>
      <c r="AR46" s="105">
        <v>5.2</v>
      </c>
      <c r="AT46" s="107">
        <v>6.2</v>
      </c>
      <c r="AU46" s="105">
        <v>5.2</v>
      </c>
      <c r="AW46" s="107">
        <v>21.6</v>
      </c>
      <c r="AX46" s="105">
        <v>5.2</v>
      </c>
      <c r="AZ46" s="107">
        <v>16.600000000000001</v>
      </c>
      <c r="BA46" s="105">
        <v>5.2</v>
      </c>
    </row>
    <row r="47" spans="1:53" x14ac:dyDescent="0.3">
      <c r="A47" s="107">
        <v>9.3000000000000007</v>
      </c>
      <c r="B47" s="105">
        <v>5.3</v>
      </c>
      <c r="D47" s="161">
        <v>9.8000000000000007</v>
      </c>
      <c r="E47" s="105">
        <v>5.3</v>
      </c>
      <c r="G47" s="107">
        <v>12.1</v>
      </c>
      <c r="H47" s="105">
        <v>5.3</v>
      </c>
      <c r="J47" s="107">
        <v>12.98</v>
      </c>
      <c r="K47" s="105">
        <v>5.3</v>
      </c>
      <c r="M47" s="105"/>
      <c r="Q47" s="105"/>
      <c r="S47" s="106">
        <v>2610</v>
      </c>
      <c r="T47" s="105">
        <v>5.3</v>
      </c>
      <c r="V47" s="106">
        <v>2435</v>
      </c>
      <c r="W47" s="105">
        <v>5.3</v>
      </c>
      <c r="Y47" s="106">
        <v>123</v>
      </c>
      <c r="Z47" s="105">
        <v>5.3</v>
      </c>
      <c r="AB47" s="106">
        <v>113</v>
      </c>
      <c r="AC47" s="105">
        <v>5.3</v>
      </c>
      <c r="AE47" s="106">
        <v>409</v>
      </c>
      <c r="AF47" s="105">
        <v>5.3</v>
      </c>
      <c r="AH47" s="106">
        <v>382</v>
      </c>
      <c r="AI47" s="105">
        <v>5.3</v>
      </c>
      <c r="AK47" s="107">
        <v>36.700000000000003</v>
      </c>
      <c r="AL47" s="105">
        <v>5.3</v>
      </c>
      <c r="AN47" s="107">
        <v>26.55</v>
      </c>
      <c r="AO47" s="105">
        <v>5.3</v>
      </c>
      <c r="AQ47" s="237">
        <v>7.36</v>
      </c>
      <c r="AR47" s="105">
        <v>5.3</v>
      </c>
      <c r="AT47" s="107">
        <v>6.3</v>
      </c>
      <c r="AU47" s="105">
        <v>5.3</v>
      </c>
      <c r="AW47" s="107">
        <v>21.9</v>
      </c>
      <c r="AX47" s="105">
        <v>5.3</v>
      </c>
      <c r="AZ47" s="107">
        <v>17.149999999999999</v>
      </c>
      <c r="BA47" s="105">
        <v>5.3</v>
      </c>
    </row>
    <row r="48" spans="1:53" x14ac:dyDescent="0.3">
      <c r="A48" s="107">
        <v>9.25</v>
      </c>
      <c r="B48" s="105">
        <v>5.4</v>
      </c>
      <c r="D48" s="107">
        <v>9.75</v>
      </c>
      <c r="E48" s="105">
        <v>5.4</v>
      </c>
      <c r="G48" s="107">
        <v>12.05</v>
      </c>
      <c r="H48" s="105">
        <v>5.4</v>
      </c>
      <c r="J48" s="107">
        <v>12.89</v>
      </c>
      <c r="K48" s="105">
        <v>5.4</v>
      </c>
      <c r="M48" s="105"/>
      <c r="Q48" s="105"/>
      <c r="S48" s="106">
        <v>2630</v>
      </c>
      <c r="T48" s="105">
        <v>5.4</v>
      </c>
      <c r="V48" s="106">
        <v>2455</v>
      </c>
      <c r="W48" s="105">
        <v>5.4</v>
      </c>
      <c r="Y48" s="106">
        <v>124</v>
      </c>
      <c r="Z48" s="105">
        <v>5.4</v>
      </c>
      <c r="AB48" s="106">
        <v>114</v>
      </c>
      <c r="AC48" s="105">
        <v>5.4</v>
      </c>
      <c r="AE48" s="106">
        <v>412</v>
      </c>
      <c r="AF48" s="105">
        <v>5.4</v>
      </c>
      <c r="AH48" s="106">
        <v>386</v>
      </c>
      <c r="AI48" s="105">
        <v>5.4</v>
      </c>
      <c r="AK48" s="107">
        <v>37.6</v>
      </c>
      <c r="AL48" s="105">
        <v>5.4</v>
      </c>
      <c r="AN48" s="107">
        <v>27.4</v>
      </c>
      <c r="AO48" s="105">
        <v>5.4</v>
      </c>
      <c r="AQ48" s="78">
        <v>7.48</v>
      </c>
      <c r="AR48" s="105">
        <v>5.4</v>
      </c>
      <c r="AT48" s="107">
        <v>6.4</v>
      </c>
      <c r="AU48" s="105">
        <v>5.4</v>
      </c>
      <c r="AW48" s="107">
        <v>22.2</v>
      </c>
      <c r="AX48" s="105">
        <v>5.4</v>
      </c>
      <c r="AZ48" s="107">
        <v>17.7</v>
      </c>
      <c r="BA48" s="105">
        <v>5.4</v>
      </c>
    </row>
    <row r="49" spans="1:53" x14ac:dyDescent="0.3">
      <c r="A49" s="107">
        <v>9.1999999999999993</v>
      </c>
      <c r="B49" s="105">
        <v>5.5</v>
      </c>
      <c r="D49" s="107">
        <v>9.6999999999999993</v>
      </c>
      <c r="E49" s="105">
        <v>5.5</v>
      </c>
      <c r="G49" s="107">
        <v>12</v>
      </c>
      <c r="H49" s="105">
        <v>5.5</v>
      </c>
      <c r="J49" s="107">
        <v>12.8</v>
      </c>
      <c r="K49" s="105">
        <v>5.5</v>
      </c>
      <c r="M49" s="105"/>
      <c r="Q49" s="105"/>
      <c r="S49" s="106">
        <v>2650</v>
      </c>
      <c r="T49" s="105">
        <v>5.5</v>
      </c>
      <c r="V49" s="106">
        <v>2475</v>
      </c>
      <c r="W49" s="105">
        <v>5.5</v>
      </c>
      <c r="Y49" s="106">
        <v>125</v>
      </c>
      <c r="Z49" s="105">
        <v>5.5</v>
      </c>
      <c r="AB49" s="106">
        <v>115</v>
      </c>
      <c r="AC49" s="105">
        <v>5.5</v>
      </c>
      <c r="AE49" s="106">
        <v>415</v>
      </c>
      <c r="AF49" s="105">
        <v>5.5</v>
      </c>
      <c r="AH49" s="106">
        <v>390</v>
      </c>
      <c r="AI49" s="105">
        <v>5.5</v>
      </c>
      <c r="AK49" s="107">
        <v>38.5</v>
      </c>
      <c r="AL49" s="105">
        <v>5.5</v>
      </c>
      <c r="AN49" s="107">
        <v>28.25</v>
      </c>
      <c r="AO49" s="105">
        <v>5.5</v>
      </c>
      <c r="AQ49" s="78">
        <v>7.6</v>
      </c>
      <c r="AR49" s="105">
        <v>5.5</v>
      </c>
      <c r="AT49" s="107">
        <v>6.5</v>
      </c>
      <c r="AU49" s="105">
        <v>5.5</v>
      </c>
      <c r="AW49" s="107">
        <v>22.5</v>
      </c>
      <c r="AX49" s="105">
        <v>5.5</v>
      </c>
      <c r="AZ49" s="107">
        <v>18.25</v>
      </c>
      <c r="BA49" s="105">
        <v>5.5</v>
      </c>
    </row>
    <row r="50" spans="1:53" x14ac:dyDescent="0.3">
      <c r="A50" s="107">
        <v>9.15</v>
      </c>
      <c r="B50" s="105">
        <v>5.6</v>
      </c>
      <c r="D50" s="107">
        <v>9.65</v>
      </c>
      <c r="E50" s="105">
        <v>5.6</v>
      </c>
      <c r="G50" s="107">
        <v>11.95</v>
      </c>
      <c r="H50" s="105">
        <v>5.6</v>
      </c>
      <c r="J50" s="107">
        <v>12.71</v>
      </c>
      <c r="K50" s="105">
        <v>5.6</v>
      </c>
      <c r="M50" s="105"/>
      <c r="Q50" s="105"/>
      <c r="S50" s="106">
        <v>2670</v>
      </c>
      <c r="T50" s="105">
        <v>5.6</v>
      </c>
      <c r="V50" s="106">
        <v>2495</v>
      </c>
      <c r="W50" s="105">
        <v>5.6</v>
      </c>
      <c r="Y50" s="106">
        <v>126</v>
      </c>
      <c r="Z50" s="105">
        <v>5.6</v>
      </c>
      <c r="AB50" s="106">
        <v>116</v>
      </c>
      <c r="AC50" s="105">
        <v>5.6</v>
      </c>
      <c r="AE50" s="106">
        <v>418</v>
      </c>
      <c r="AF50" s="105">
        <v>5.6</v>
      </c>
      <c r="AH50" s="106">
        <v>394</v>
      </c>
      <c r="AI50" s="105">
        <v>5.6</v>
      </c>
      <c r="AK50" s="107">
        <v>39.4</v>
      </c>
      <c r="AL50" s="105">
        <v>5.6</v>
      </c>
      <c r="AN50" s="107">
        <v>29.1</v>
      </c>
      <c r="AO50" s="105">
        <v>5.6</v>
      </c>
      <c r="AQ50" s="78">
        <v>7.72</v>
      </c>
      <c r="AR50" s="105">
        <v>5.6</v>
      </c>
      <c r="AT50" s="107">
        <v>6.6</v>
      </c>
      <c r="AU50" s="105">
        <v>5.6</v>
      </c>
      <c r="AW50" s="107">
        <v>22.8</v>
      </c>
      <c r="AX50" s="105">
        <v>5.6</v>
      </c>
      <c r="AZ50" s="107">
        <v>18.8</v>
      </c>
      <c r="BA50" s="105">
        <v>5.6</v>
      </c>
    </row>
    <row r="51" spans="1:53" x14ac:dyDescent="0.3">
      <c r="A51" s="107">
        <v>9.1</v>
      </c>
      <c r="B51" s="105">
        <v>5.7</v>
      </c>
      <c r="D51" s="107">
        <v>9.6</v>
      </c>
      <c r="E51" s="105">
        <v>5.7</v>
      </c>
      <c r="G51" s="107">
        <v>11.9</v>
      </c>
      <c r="H51" s="105">
        <v>5.7</v>
      </c>
      <c r="J51" s="107">
        <v>12.62</v>
      </c>
      <c r="K51" s="105">
        <v>5.7</v>
      </c>
      <c r="M51" s="105"/>
      <c r="Q51" s="105"/>
      <c r="S51" s="106">
        <v>2690</v>
      </c>
      <c r="T51" s="105">
        <v>5.7</v>
      </c>
      <c r="V51" s="106">
        <v>2515</v>
      </c>
      <c r="W51" s="105">
        <v>5.7</v>
      </c>
      <c r="Y51" s="106">
        <v>127</v>
      </c>
      <c r="Z51" s="105">
        <v>5.7</v>
      </c>
      <c r="AB51" s="106">
        <v>117</v>
      </c>
      <c r="AC51" s="105">
        <v>5.7</v>
      </c>
      <c r="AE51" s="106">
        <v>421</v>
      </c>
      <c r="AF51" s="105">
        <v>5.7</v>
      </c>
      <c r="AH51" s="106">
        <v>398</v>
      </c>
      <c r="AI51" s="105">
        <v>5.7</v>
      </c>
      <c r="AK51" s="107">
        <v>40.299999999999997</v>
      </c>
      <c r="AL51" s="105">
        <v>5.7</v>
      </c>
      <c r="AN51" s="107">
        <v>29.95</v>
      </c>
      <c r="AO51" s="105">
        <v>5.7</v>
      </c>
      <c r="AQ51" s="78">
        <v>7.84</v>
      </c>
      <c r="AR51" s="105">
        <v>5.7</v>
      </c>
      <c r="AT51" s="107">
        <v>6.7</v>
      </c>
      <c r="AU51" s="105">
        <v>5.7</v>
      </c>
      <c r="AW51" s="107">
        <v>23.1</v>
      </c>
      <c r="AX51" s="105">
        <v>5.7</v>
      </c>
      <c r="AZ51" s="107">
        <v>19.350000000000001</v>
      </c>
      <c r="BA51" s="105">
        <v>5.7</v>
      </c>
    </row>
    <row r="52" spans="1:53" x14ac:dyDescent="0.3">
      <c r="A52" s="107">
        <v>9.0500000000000007</v>
      </c>
      <c r="B52" s="105">
        <v>5.8</v>
      </c>
      <c r="D52" s="107">
        <v>9.5500000000000007</v>
      </c>
      <c r="E52" s="105">
        <v>5.8</v>
      </c>
      <c r="G52" s="107">
        <v>11.85</v>
      </c>
      <c r="H52" s="105">
        <v>5.8</v>
      </c>
      <c r="J52" s="107">
        <v>12.53</v>
      </c>
      <c r="K52" s="105">
        <v>5.8</v>
      </c>
      <c r="M52" s="105"/>
      <c r="Q52" s="105"/>
      <c r="S52" s="106">
        <v>2710</v>
      </c>
      <c r="T52" s="105">
        <v>5.8</v>
      </c>
      <c r="V52" s="106">
        <v>2535</v>
      </c>
      <c r="W52" s="105">
        <v>5.8</v>
      </c>
      <c r="Y52" s="106">
        <v>128</v>
      </c>
      <c r="Z52" s="105">
        <v>5.8</v>
      </c>
      <c r="AB52" s="106">
        <v>118</v>
      </c>
      <c r="AC52" s="105">
        <v>5.8</v>
      </c>
      <c r="AE52" s="106">
        <v>424</v>
      </c>
      <c r="AF52" s="105">
        <v>5.8</v>
      </c>
      <c r="AH52" s="106">
        <v>402</v>
      </c>
      <c r="AI52" s="105">
        <v>5.8</v>
      </c>
      <c r="AK52" s="107">
        <v>41.2</v>
      </c>
      <c r="AL52" s="105">
        <v>5.8</v>
      </c>
      <c r="AN52" s="107">
        <v>30.8</v>
      </c>
      <c r="AO52" s="105">
        <v>5.8</v>
      </c>
      <c r="AQ52" s="78">
        <v>7.96</v>
      </c>
      <c r="AR52" s="105">
        <v>5.8</v>
      </c>
      <c r="AT52" s="107">
        <v>6.8</v>
      </c>
      <c r="AU52" s="105">
        <v>5.8</v>
      </c>
      <c r="AW52" s="107">
        <v>23.4</v>
      </c>
      <c r="AX52" s="105">
        <v>5.8</v>
      </c>
      <c r="AZ52" s="107">
        <v>19.899999999999999</v>
      </c>
      <c r="BA52" s="105">
        <v>5.8</v>
      </c>
    </row>
    <row r="53" spans="1:53" x14ac:dyDescent="0.3">
      <c r="A53" s="107">
        <v>9</v>
      </c>
      <c r="B53" s="105">
        <v>5.9</v>
      </c>
      <c r="D53" s="107">
        <v>9.5</v>
      </c>
      <c r="E53" s="105">
        <v>5.9</v>
      </c>
      <c r="G53" s="107">
        <v>11.8</v>
      </c>
      <c r="H53" s="105">
        <v>5.9</v>
      </c>
      <c r="J53" s="107">
        <v>12.44</v>
      </c>
      <c r="K53" s="105">
        <v>5.9</v>
      </c>
      <c r="M53" s="105"/>
      <c r="Q53" s="105"/>
      <c r="S53" s="106">
        <v>2730</v>
      </c>
      <c r="T53" s="105">
        <v>5.9</v>
      </c>
      <c r="V53" s="106">
        <v>2555</v>
      </c>
      <c r="W53" s="105">
        <v>5.9</v>
      </c>
      <c r="Y53" s="106">
        <v>129</v>
      </c>
      <c r="Z53" s="105">
        <v>5.9</v>
      </c>
      <c r="AB53" s="106">
        <v>119</v>
      </c>
      <c r="AC53" s="105">
        <v>5.9</v>
      </c>
      <c r="AE53" s="106">
        <v>427</v>
      </c>
      <c r="AF53" s="105">
        <v>5.9</v>
      </c>
      <c r="AH53" s="106">
        <v>406</v>
      </c>
      <c r="AI53" s="105">
        <v>5.9</v>
      </c>
      <c r="AK53" s="107">
        <v>42.1</v>
      </c>
      <c r="AL53" s="105">
        <v>5.9</v>
      </c>
      <c r="AN53" s="107">
        <v>31.65</v>
      </c>
      <c r="AO53" s="105">
        <v>5.9</v>
      </c>
      <c r="AQ53" s="78">
        <v>8.08</v>
      </c>
      <c r="AR53" s="105">
        <v>5.9</v>
      </c>
      <c r="AT53" s="107">
        <v>6.9</v>
      </c>
      <c r="AU53" s="105">
        <v>5.9</v>
      </c>
      <c r="AW53" s="107">
        <v>23.7</v>
      </c>
      <c r="AX53" s="105">
        <v>5.9</v>
      </c>
      <c r="AZ53" s="107">
        <v>20.45</v>
      </c>
      <c r="BA53" s="105">
        <v>5.9</v>
      </c>
    </row>
    <row r="54" spans="1:53" x14ac:dyDescent="0.3">
      <c r="A54" s="107">
        <v>8.9499999999999993</v>
      </c>
      <c r="B54" s="105">
        <v>6</v>
      </c>
      <c r="D54" s="107">
        <v>9.4499999999999993</v>
      </c>
      <c r="E54" s="105">
        <v>6</v>
      </c>
      <c r="G54" s="107">
        <v>11.75</v>
      </c>
      <c r="H54" s="105">
        <v>6</v>
      </c>
      <c r="J54" s="107">
        <v>12.35</v>
      </c>
      <c r="K54" s="105">
        <v>6</v>
      </c>
      <c r="M54" s="105"/>
      <c r="Q54" s="105"/>
      <c r="S54" s="106">
        <v>2750</v>
      </c>
      <c r="T54" s="105">
        <v>6</v>
      </c>
      <c r="V54" s="106">
        <v>2575</v>
      </c>
      <c r="W54" s="105">
        <v>6</v>
      </c>
      <c r="Y54" s="106">
        <v>130</v>
      </c>
      <c r="Z54" s="105">
        <v>6</v>
      </c>
      <c r="AB54" s="106">
        <v>120</v>
      </c>
      <c r="AC54" s="105">
        <v>6</v>
      </c>
      <c r="AE54" s="106">
        <v>430</v>
      </c>
      <c r="AF54" s="105">
        <v>6</v>
      </c>
      <c r="AH54" s="104">
        <v>410</v>
      </c>
      <c r="AI54" s="105">
        <v>6</v>
      </c>
      <c r="AK54" s="107">
        <v>43</v>
      </c>
      <c r="AL54" s="105">
        <v>6</v>
      </c>
      <c r="AN54" s="107">
        <v>32.5</v>
      </c>
      <c r="AO54" s="105">
        <v>6</v>
      </c>
      <c r="AQ54" s="78">
        <v>8.1999999999999993</v>
      </c>
      <c r="AR54" s="105">
        <v>6</v>
      </c>
      <c r="AT54" s="107">
        <v>7</v>
      </c>
      <c r="AU54" s="105">
        <v>6</v>
      </c>
      <c r="AW54" s="107">
        <v>24</v>
      </c>
      <c r="AX54" s="105">
        <v>6</v>
      </c>
      <c r="AZ54" s="107">
        <v>21</v>
      </c>
      <c r="BA54" s="105">
        <v>6</v>
      </c>
    </row>
    <row r="55" spans="1:53" x14ac:dyDescent="0.3">
      <c r="A55" s="166"/>
      <c r="B55" s="102"/>
      <c r="D55" s="166"/>
      <c r="E55" s="102"/>
      <c r="G55" s="166"/>
      <c r="H55" s="102"/>
      <c r="J55" s="166"/>
      <c r="K55" s="102"/>
      <c r="M55" s="101"/>
      <c r="Q55" s="102"/>
      <c r="S55" s="168"/>
      <c r="V55" s="168"/>
      <c r="W55" s="102"/>
      <c r="Y55" s="168"/>
      <c r="Z55" s="102"/>
      <c r="AB55" s="168"/>
      <c r="AC55" s="102"/>
      <c r="AE55" s="168"/>
      <c r="AF55" s="102"/>
      <c r="AH55" s="168"/>
      <c r="AI55" s="102"/>
      <c r="AK55" s="168"/>
      <c r="AL55" s="102"/>
      <c r="AN55" s="168"/>
      <c r="AO55" s="102"/>
      <c r="AQ55" s="168"/>
      <c r="AR55" s="102"/>
      <c r="AT55" s="168"/>
      <c r="AU55" s="102"/>
      <c r="AW55" s="166"/>
      <c r="AX55" s="102"/>
      <c r="AZ55" s="166"/>
      <c r="BA55" s="102"/>
    </row>
    <row r="56" spans="1:53" x14ac:dyDescent="0.3">
      <c r="K56" s="102"/>
      <c r="AW56" s="169"/>
      <c r="AZ56" s="169"/>
    </row>
  </sheetData>
  <mergeCells count="18">
    <mergeCell ref="A2:B2"/>
    <mergeCell ref="D2:E2"/>
    <mergeCell ref="Y2:Z2"/>
    <mergeCell ref="AB2:AC2"/>
    <mergeCell ref="AE2:AF2"/>
    <mergeCell ref="G2:H2"/>
    <mergeCell ref="J2:K2"/>
    <mergeCell ref="AH2:AI2"/>
    <mergeCell ref="S2:T2"/>
    <mergeCell ref="V2:W2"/>
    <mergeCell ref="M2:N2"/>
    <mergeCell ref="P2:Q2"/>
    <mergeCell ref="AZ2:BA2"/>
    <mergeCell ref="AK2:AL2"/>
    <mergeCell ref="AN2:AO2"/>
    <mergeCell ref="AQ2:AR2"/>
    <mergeCell ref="AT2:AU2"/>
    <mergeCell ref="AW2:AX2"/>
  </mergeCells>
  <pageMargins left="0.7" right="0.7" top="0.78740157499999996" bottom="0.78740157499999996" header="0.3" footer="0.3"/>
  <pageSetup paperSize="9" orientation="portrait" verticalDpi="4294967295" r:id="rId1"/>
  <tableParts count="18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22</vt:i4>
      </vt:variant>
    </vt:vector>
  </HeadingPairs>
  <TitlesOfParts>
    <vt:vector size="43" baseType="lpstr">
      <vt:lpstr>Resultatmappe</vt:lpstr>
      <vt:lpstr>Diplom</vt:lpstr>
      <vt:lpstr>Diplom_Unterschrift</vt:lpstr>
      <vt:lpstr>Diplom_Zusammenzug</vt:lpstr>
      <vt:lpstr>Diplom_Werte</vt:lpstr>
      <vt:lpstr>Diplom_Kantone</vt:lpstr>
      <vt:lpstr>Diplom_BilderMed</vt:lpstr>
      <vt:lpstr>Diplom_BilderPok</vt:lpstr>
      <vt:lpstr>BS 1_1</vt:lpstr>
      <vt:lpstr>BS 1_2</vt:lpstr>
      <vt:lpstr>BS 2_1</vt:lpstr>
      <vt:lpstr>BS 2_2</vt:lpstr>
      <vt:lpstr>BS 3_1</vt:lpstr>
      <vt:lpstr>BS 3_2</vt:lpstr>
      <vt:lpstr>BS 4_1</vt:lpstr>
      <vt:lpstr>BS 4_2</vt:lpstr>
      <vt:lpstr>BS 5</vt:lpstr>
      <vt:lpstr>BS 6</vt:lpstr>
      <vt:lpstr>FIT</vt:lpstr>
      <vt:lpstr>Stammdaten</vt:lpstr>
      <vt:lpstr>Statistik</vt:lpstr>
      <vt:lpstr>_AnzBS1</vt:lpstr>
      <vt:lpstr>_AnzBS2</vt:lpstr>
      <vt:lpstr>_AnzBS3</vt:lpstr>
      <vt:lpstr>_AnzBS4</vt:lpstr>
      <vt:lpstr>_BS_2</vt:lpstr>
      <vt:lpstr>_Diplom</vt:lpstr>
      <vt:lpstr>_Stufe_Aerobic</vt:lpstr>
      <vt:lpstr>_Stufe_Boden</vt:lpstr>
      <vt:lpstr>_Stufe_Parallelbarren</vt:lpstr>
      <vt:lpstr>_Stufe_Parkour</vt:lpstr>
      <vt:lpstr>_Stufe_Reck</vt:lpstr>
      <vt:lpstr>_Stufe_RopeSkipping</vt:lpstr>
      <vt:lpstr>_Stufe_Schaukelringe</vt:lpstr>
      <vt:lpstr>_Stufe_Sprung</vt:lpstr>
      <vt:lpstr>_Stufe_Stufenbarren</vt:lpstr>
      <vt:lpstr>_Stufe_Tanzen</vt:lpstr>
      <vt:lpstr>_Stufe_Volley</vt:lpstr>
      <vt:lpstr>_SuSN</vt:lpstr>
      <vt:lpstr>Diplom!Druckbereich</vt:lpstr>
      <vt:lpstr>Resultatmappe!Druckbereich</vt:lpstr>
      <vt:lpstr>Resultatmappe!Drucktitel</vt:lpstr>
      <vt:lpstr>Unterschrift</vt:lpstr>
    </vt:vector>
  </TitlesOfParts>
  <Company>Kantonale Verwaltung Uri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Egli Marie-Andrea</dc:creator>
  <cp:lastModifiedBy>sr1</cp:lastModifiedBy>
  <cp:lastPrinted>2022-02-12T21:42:16Z</cp:lastPrinted>
  <dcterms:created xsi:type="dcterms:W3CDTF">2019-07-26T15:03:23Z</dcterms:created>
  <dcterms:modified xsi:type="dcterms:W3CDTF">2022-06-18T13:30:49Z</dcterms:modified>
</cp:coreProperties>
</file>